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表紙" sheetId="1" state="visible" r:id="rId1"/>
    <sheet xmlns:r="http://schemas.openxmlformats.org/officeDocument/2006/relationships" name="前提条件" sheetId="2" state="visible" r:id="rId2"/>
    <sheet xmlns:r="http://schemas.openxmlformats.org/officeDocument/2006/relationships" name="損益計算書" sheetId="3" state="visible" r:id="rId3"/>
    <sheet xmlns:r="http://schemas.openxmlformats.org/officeDocument/2006/relationships" name="月次(全5期)" sheetId="4" state="visible" r:id="rId4"/>
    <sheet xmlns:r="http://schemas.openxmlformats.org/officeDocument/2006/relationships" name="貸借対照表" sheetId="5" state="visible" r:id="rId5"/>
    <sheet xmlns:r="http://schemas.openxmlformats.org/officeDocument/2006/relationships" name="CF・借入返済" sheetId="6" state="visible" r:id="rId6"/>
    <sheet xmlns:r="http://schemas.openxmlformats.org/officeDocument/2006/relationships" name="売上ビルド(月次×メニュー)" sheetId="7" state="visible" r:id="rId7"/>
    <sheet xmlns:r="http://schemas.openxmlformats.org/officeDocument/2006/relationships" name="人員スケジュール(人別×月次)" sheetId="8" state="visible" r:id="rId8"/>
    <sheet xmlns:r="http://schemas.openxmlformats.org/officeDocument/2006/relationships" name="KPI・感応度" sheetId="9" state="visible" r:id="rId9"/>
    <sheet xmlns:r="http://schemas.openxmlformats.org/officeDocument/2006/relationships" name="減価償却スケジュール" sheetId="10" state="visible" r:id="rId10"/>
    <sheet xmlns:r="http://schemas.openxmlformats.org/officeDocument/2006/relationships" name="カニ調達・原価(物理)" sheetId="11" state="visible" r:id="rId11"/>
    <sheet xmlns:r="http://schemas.openxmlformats.org/officeDocument/2006/relationships" name="運転資本スケジュール" sheetId="12" state="visible" r:id="rId12"/>
    <sheet xmlns:r="http://schemas.openxmlformats.org/officeDocument/2006/relationships" name="税スケジュール" sheetId="13" state="visible" r:id="rId13"/>
    <sheet xmlns:r="http://schemas.openxmlformats.org/officeDocument/2006/relationships" name="DCFバリュエーション" sheetId="14" state="visible" r:id="rId14"/>
    <sheet xmlns:r="http://schemas.openxmlformats.org/officeDocument/2006/relationships" name="資本構造" sheetId="15" state="visible" r:id="rId15"/>
    <sheet xmlns:r="http://schemas.openxmlformats.org/officeDocument/2006/relationships" name="Initial Recovery 年次" sheetId="16" state="visible" r:id="rId16"/>
    <sheet xmlns:r="http://schemas.openxmlformats.org/officeDocument/2006/relationships" name="BookYou欠損金" sheetId="17" state="visible" r:id="rId17"/>
    <sheet xmlns:r="http://schemas.openxmlformats.org/officeDocument/2006/relationships" name="Terminal Value" sheetId="18" state="visible" r:id="rId18"/>
    <sheet xmlns:r="http://schemas.openxmlformats.org/officeDocument/2006/relationships" name="Sources" sheetId="19" state="visible" r:id="rId19"/>
    <sheet xmlns:r="http://schemas.openxmlformats.org/officeDocument/2006/relationships" name="Check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9">
    <numFmt numFmtId="164" formatCode="#,##0.0;[Red](#,##0.0)"/>
    <numFmt numFmtId="165" formatCode="0.0%"/>
    <numFmt numFmtId="166" formatCode="¥#,##0"/>
    <numFmt numFmtId="167" formatCode="+0.0%;[Red]-0.0%"/>
    <numFmt numFmtId="168" formatCode="0.0"/>
    <numFmt numFmtId="169" formatCode="0.00000"/>
    <numFmt numFmtId="170" formatCode="0.00&quot;x&quot;"/>
    <numFmt numFmtId="171" formatCode="#,##0;[Red](#,##0)"/>
    <numFmt numFmtId="172" formatCode="0.000"/>
  </numFmts>
  <fonts count="18">
    <font>
      <name val="Calibri"/>
      <family val="2"/>
      <color theme="1"/>
      <sz val="11"/>
      <scheme val="minor"/>
    </font>
    <font>
      <name val="Meiryo"/>
      <b val="1"/>
      <color rgb="00FFFFFF"/>
      <sz val="16"/>
    </font>
    <font>
      <name val="Meiryo"/>
      <color rgb="00FFFFFF"/>
      <sz val="9"/>
    </font>
    <font>
      <name val="Meiryo"/>
      <b val="1"/>
      <color rgb="00FFFFFF"/>
      <sz val="10"/>
    </font>
    <font>
      <name val="Meiryo"/>
      <b val="1"/>
      <color rgb="001F2A44"/>
      <sz val="10"/>
    </font>
    <font>
      <name val="Meiryo"/>
      <color rgb="00111111"/>
      <sz val="10"/>
    </font>
    <font>
      <name val="Meiryo"/>
      <color rgb="001155CC"/>
      <sz val="10"/>
    </font>
    <font>
      <name val="Meiryo"/>
      <b val="1"/>
      <color rgb="00111111"/>
      <sz val="10"/>
    </font>
    <font>
      <name val="Meiryo"/>
      <color rgb="002F6F4E"/>
      <sz val="10"/>
    </font>
    <font>
      <name val="Meiryo"/>
      <i val="1"/>
      <color rgb="006B7280"/>
      <sz val="8"/>
    </font>
    <font>
      <name val="Meiryo"/>
      <b val="1"/>
      <color rgb="002F6F4E"/>
      <sz val="10"/>
    </font>
    <font>
      <name val="Meiryo"/>
      <b val="1"/>
      <color rgb="002F6F4E"/>
      <sz val="11"/>
    </font>
    <font>
      <name val="Meiryo"/>
      <b val="1"/>
      <color rgb="001F2A44"/>
      <sz val="11"/>
    </font>
    <font>
      <name val="Meiryo"/>
      <b val="1"/>
      <color rgb="002F6F4E"/>
      <sz val="12"/>
    </font>
    <font>
      <name val="Meiryo"/>
      <b val="1"/>
      <color rgb="00B42318"/>
      <sz val="10"/>
    </font>
    <font>
      <name val="Meiryo"/>
      <b val="1"/>
      <color rgb="00111111"/>
      <sz val="13"/>
    </font>
    <font>
      <name val="Meiryo"/>
      <b val="1"/>
      <color rgb="002F6F4E"/>
      <sz val="13"/>
    </font>
    <font>
      <name val="Meiryo"/>
      <b val="1"/>
      <color rgb="00C2410C"/>
      <sz val="13"/>
    </font>
  </fonts>
  <fills count="10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C2410C"/>
      </patternFill>
    </fill>
    <fill>
      <patternFill patternType="solid">
        <fgColor rgb="00F2F4F7"/>
      </patternFill>
    </fill>
    <fill>
      <patternFill patternType="solid">
        <fgColor rgb="00EAF2FB"/>
      </patternFill>
    </fill>
    <fill>
      <patternFill patternType="solid">
        <fgColor rgb="00E8ECF1"/>
      </patternFill>
    </fill>
    <fill>
      <patternFill patternType="solid">
        <fgColor rgb="00DCFCE7"/>
      </patternFill>
    </fill>
    <fill>
      <patternFill patternType="solid">
        <fgColor rgb="002F6F4E"/>
      </patternFill>
    </fill>
    <fill>
      <patternFill patternType="solid">
        <fgColor rgb="00B7791F"/>
      </patternFill>
    </fill>
  </fills>
  <borders count="6">
    <border>
      <left/>
      <right/>
      <top/>
      <bottom/>
      <diagonal/>
    </border>
    <border>
      <left style="thin">
        <color rgb="00C9CED6"/>
      </left>
      <right style="thin">
        <color rgb="00C9CED6"/>
      </right>
      <top style="thin">
        <color rgb="00C9CED6"/>
      </top>
      <bottom style="thin">
        <color rgb="00C9CED6"/>
      </bottom>
    </border>
    <border>
      <top style="medium">
        <color rgb="001F2A44"/>
      </top>
    </border>
    <border>
      <left/>
      <right/>
      <top style="thin">
        <color rgb="00C9CED6"/>
      </top>
      <bottom/>
      <diagonal/>
    </border>
    <border>
      <left/>
      <right style="thin">
        <color rgb="00C9CED6"/>
      </right>
      <top style="thin">
        <color rgb="00C9CED6"/>
      </top>
      <bottom/>
      <diagonal/>
    </border>
    <border>
      <left/>
      <right style="thin">
        <color rgb="00C9CED6"/>
      </right>
      <top style="thin">
        <color rgb="00C9CED6"/>
      </top>
      <bottom style="thin">
        <color rgb="00C9CED6"/>
      </bottom>
      <diagonal/>
    </border>
  </borders>
  <cellStyleXfs count="1">
    <xf numFmtId="0" fontId="0" fillId="0" borderId="0"/>
  </cellStyleXfs>
  <cellXfs count="8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0" fillId="2" borderId="0" pivotButton="0" quotePrefix="0" xfId="0"/>
    <xf numFmtId="0" fontId="2" fillId="2" borderId="0" pivotButton="0" quotePrefix="0" xfId="0"/>
    <xf numFmtId="0" fontId="12" fillId="4" borderId="0" pivotButton="0" quotePrefix="0" xfId="0"/>
    <xf numFmtId="0" fontId="0" fillId="4" borderId="0" pivotButton="0" quotePrefix="0" xfId="0"/>
    <xf numFmtId="0" fontId="5" fillId="0" borderId="0" applyAlignment="1" pivotButton="0" quotePrefix="0" xfId="0">
      <alignment indent="1"/>
    </xf>
    <xf numFmtId="0" fontId="17" fillId="0" borderId="0" applyAlignment="1" pivotButton="0" quotePrefix="0" xfId="0">
      <alignment horizontal="left"/>
    </xf>
    <xf numFmtId="0" fontId="9" fillId="0" borderId="0" pivotButton="0" quotePrefix="0" xfId="0"/>
    <xf numFmtId="0" fontId="16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8" fillId="0" borderId="0" pivotButton="0" quotePrefix="0" xfId="0"/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0" fontId="4" fillId="4" borderId="0" applyAlignment="1" pivotButton="0" quotePrefix="0" xfId="0">
      <alignment indent="1"/>
    </xf>
    <xf numFmtId="164" fontId="5" fillId="4" borderId="0" applyAlignment="1" pivotButton="0" quotePrefix="0" xfId="0">
      <alignment horizontal="right"/>
    </xf>
    <xf numFmtId="0" fontId="6" fillId="0" borderId="0" applyAlignment="1" pivotButton="0" quotePrefix="0" xfId="0">
      <alignment indent="1"/>
    </xf>
    <xf numFmtId="164" fontId="6" fillId="5" borderId="1" applyAlignment="1" pivotButton="0" quotePrefix="0" xfId="0">
      <alignment horizontal="right"/>
    </xf>
    <xf numFmtId="0" fontId="7" fillId="6" borderId="0" applyAlignment="1" pivotButton="0" quotePrefix="0" xfId="0">
      <alignment indent="1"/>
    </xf>
    <xf numFmtId="164" fontId="7" fillId="6" borderId="2" applyAlignment="1" pivotButton="0" quotePrefix="0" xfId="0">
      <alignment horizontal="right"/>
    </xf>
    <xf numFmtId="0" fontId="8" fillId="0" borderId="0" applyAlignment="1" pivotButton="0" quotePrefix="0" xfId="0">
      <alignment indent="1"/>
    </xf>
    <xf numFmtId="164" fontId="8" fillId="0" borderId="0" applyAlignment="1" pivotButton="0" quotePrefix="0" xfId="0">
      <alignment horizontal="right"/>
    </xf>
    <xf numFmtId="165" fontId="6" fillId="5" borderId="1" applyAlignment="1" pivotButton="0" quotePrefix="0" xfId="0">
      <alignment horizontal="right"/>
    </xf>
    <xf numFmtId="166" fontId="6" fillId="5" borderId="1" applyAlignment="1" pivotButton="0" quotePrefix="0" xfId="0">
      <alignment horizontal="right"/>
    </xf>
    <xf numFmtId="0" fontId="9" fillId="0" borderId="0" applyAlignment="1" pivotButton="0" quotePrefix="0" xfId="0">
      <alignment indent="1"/>
    </xf>
    <xf numFmtId="165" fontId="5" fillId="0" borderId="0" applyAlignment="1" pivotButton="0" quotePrefix="0" xfId="0">
      <alignment horizontal="right"/>
    </xf>
    <xf numFmtId="164" fontId="5" fillId="0" borderId="0" applyAlignment="1" pivotButton="0" quotePrefix="0" xfId="0">
      <alignment horizontal="right"/>
    </xf>
    <xf numFmtId="0" fontId="10" fillId="0" borderId="0" applyAlignment="1" pivotButton="0" quotePrefix="0" xfId="0">
      <alignment indent="1"/>
    </xf>
    <xf numFmtId="167" fontId="5" fillId="0" borderId="0" applyAlignment="1" pivotButton="0" quotePrefix="0" xfId="0">
      <alignment horizontal="right"/>
    </xf>
    <xf numFmtId="168" fontId="5" fillId="0" borderId="0" applyAlignment="1" pivotButton="0" quotePrefix="0" xfId="0">
      <alignment horizontal="right"/>
    </xf>
    <xf numFmtId="167" fontId="11" fillId="6" borderId="2" applyAlignment="1" pivotButton="0" quotePrefix="0" xfId="0">
      <alignment horizontal="right"/>
    </xf>
    <xf numFmtId="0" fontId="0" fillId="6" borderId="2" pivotButton="0" quotePrefix="0" xfId="0"/>
    <xf numFmtId="0" fontId="6" fillId="5" borderId="1" applyAlignment="1" pivotButton="0" quotePrefix="0" xfId="0">
      <alignment horizontal="center" vertical="center"/>
    </xf>
    <xf numFmtId="0" fontId="0" fillId="3" borderId="1" pivotButton="0" quotePrefix="0" xfId="0"/>
    <xf numFmtId="0" fontId="12" fillId="0" borderId="0" pivotButton="0" quotePrefix="0" xfId="0"/>
    <xf numFmtId="0" fontId="3" fillId="3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0" fillId="0" borderId="5" pivotButton="0" quotePrefix="0" xfId="0"/>
    <xf numFmtId="164" fontId="10" fillId="7" borderId="0" applyAlignment="1" pivotButton="0" quotePrefix="0" xfId="0">
      <alignment horizontal="right"/>
    </xf>
    <xf numFmtId="0" fontId="3" fillId="3" borderId="0" pivotButton="0" quotePrefix="0" xfId="0"/>
    <xf numFmtId="3" fontId="6" fillId="5" borderId="1" applyAlignment="1" pivotButton="0" quotePrefix="0" xfId="0">
      <alignment horizontal="right"/>
    </xf>
    <xf numFmtId="2" fontId="6" fillId="5" borderId="1" applyAlignment="1" pivotButton="0" quotePrefix="0" xfId="0">
      <alignment horizontal="right"/>
    </xf>
    <xf numFmtId="168" fontId="6" fillId="5" borderId="1" applyAlignment="1" pivotButton="0" quotePrefix="0" xfId="0">
      <alignment horizontal="right"/>
    </xf>
    <xf numFmtId="169" fontId="6" fillId="5" borderId="1" applyAlignment="1" pivotButton="0" quotePrefix="0" xfId="0">
      <alignment horizontal="right"/>
    </xf>
    <xf numFmtId="3" fontId="5" fillId="0" borderId="0" applyAlignment="1" pivotButton="0" quotePrefix="0" xfId="0">
      <alignment horizontal="right"/>
    </xf>
    <xf numFmtId="0" fontId="7" fillId="0" borderId="0" pivotButton="0" quotePrefix="0" xfId="0"/>
    <xf numFmtId="164" fontId="7" fillId="0" borderId="0" applyAlignment="1" pivotButton="0" quotePrefix="0" xfId="0">
      <alignment horizontal="right"/>
    </xf>
    <xf numFmtId="0" fontId="7" fillId="6" borderId="0" pivotButton="0" quotePrefix="0" xfId="0"/>
    <xf numFmtId="0" fontId="5" fillId="0" borderId="0" applyAlignment="1" pivotButton="0" quotePrefix="0" xfId="0">
      <alignment horizontal="center" vertical="center"/>
    </xf>
    <xf numFmtId="1" fontId="6" fillId="5" borderId="1" applyAlignment="1" pivotButton="0" quotePrefix="0" xfId="0">
      <alignment horizontal="right"/>
    </xf>
    <xf numFmtId="3" fontId="7" fillId="6" borderId="2" applyAlignment="1" pivotButton="0" quotePrefix="0" xfId="0">
      <alignment horizontal="right"/>
    </xf>
    <xf numFmtId="49" fontId="9" fillId="0" borderId="0" applyAlignment="1" pivotButton="0" quotePrefix="0" xfId="0">
      <alignment horizontal="right"/>
    </xf>
    <xf numFmtId="168" fontId="7" fillId="6" borderId="2" applyAlignment="1" pivotButton="0" quotePrefix="0" xfId="0">
      <alignment horizontal="right"/>
    </xf>
    <xf numFmtId="164" fontId="7" fillId="6" borderId="0" applyAlignment="1" pivotButton="0" quotePrefix="0" xfId="0">
      <alignment horizontal="right"/>
    </xf>
    <xf numFmtId="166" fontId="5" fillId="0" borderId="0" applyAlignment="1" pivotButton="0" quotePrefix="0" xfId="0">
      <alignment horizontal="right"/>
    </xf>
    <xf numFmtId="170" fontId="5" fillId="0" borderId="0" applyAlignment="1" pivotButton="0" quotePrefix="0" xfId="0">
      <alignment horizontal="right"/>
    </xf>
    <xf numFmtId="0" fontId="7" fillId="6" borderId="1" applyAlignment="1" pivotButton="0" quotePrefix="0" xfId="0">
      <alignment horizontal="center" vertical="center"/>
    </xf>
    <xf numFmtId="171" fontId="3" fillId="8" borderId="1" applyAlignment="1" pivotButton="0" quotePrefix="0" xfId="0">
      <alignment horizontal="center" vertical="center"/>
    </xf>
    <xf numFmtId="171" fontId="3" fillId="3" borderId="1" applyAlignment="1" pivotButton="0" quotePrefix="0" xfId="0">
      <alignment horizontal="center" vertical="center"/>
    </xf>
    <xf numFmtId="171" fontId="3" fillId="9" borderId="1" applyAlignment="1" pivotButton="0" quotePrefix="0" xfId="0">
      <alignment horizontal="center" vertical="center"/>
    </xf>
    <xf numFmtId="172" fontId="6" fillId="5" borderId="1" applyAlignment="1" pivotButton="0" quotePrefix="0" xfId="0">
      <alignment horizontal="right"/>
    </xf>
    <xf numFmtId="0" fontId="10" fillId="0" borderId="0" pivotButton="0" quotePrefix="0" xfId="0"/>
    <xf numFmtId="0" fontId="10" fillId="7" borderId="0" applyAlignment="1" pivotButton="0" quotePrefix="0" xfId="0">
      <alignment horizontal="center" vertical="center"/>
    </xf>
    <xf numFmtId="10" fontId="6" fillId="5" borderId="1" applyAlignment="1" pivotButton="0" quotePrefix="0" xfId="0">
      <alignment horizontal="right"/>
    </xf>
    <xf numFmtId="165" fontId="8" fillId="0" borderId="0" applyAlignment="1" pivotButton="0" quotePrefix="0" xfId="0">
      <alignment horizontal="right"/>
    </xf>
    <xf numFmtId="172" fontId="5" fillId="0" borderId="0" applyAlignment="1" pivotButton="0" quotePrefix="0" xfId="0">
      <alignment horizontal="right"/>
    </xf>
    <xf numFmtId="164" fontId="13" fillId="6" borderId="2" applyAlignment="1" pivotButton="0" quotePrefix="0" xfId="0">
      <alignment horizontal="right"/>
    </xf>
    <xf numFmtId="165" fontId="3" fillId="3" borderId="1" applyAlignment="1" pivotButton="0" quotePrefix="0" xfId="0">
      <alignment horizontal="center" vertical="center"/>
    </xf>
    <xf numFmtId="165" fontId="7" fillId="6" borderId="1" applyAlignment="1" pivotButton="0" quotePrefix="0" xfId="0">
      <alignment horizontal="center" vertical="center"/>
    </xf>
    <xf numFmtId="171" fontId="7" fillId="0" borderId="1" applyAlignment="1" pivotButton="0" quotePrefix="0" xfId="0">
      <alignment horizontal="center" vertical="center"/>
    </xf>
    <xf numFmtId="0" fontId="9" fillId="6" borderId="2" pivotButton="0" quotePrefix="0" xfId="0"/>
    <xf numFmtId="9" fontId="5" fillId="0" borderId="0" applyAlignment="1" pivotButton="0" quotePrefix="0" xfId="0">
      <alignment horizontal="right"/>
    </xf>
    <xf numFmtId="1" fontId="5" fillId="0" borderId="0" applyAlignment="1" pivotButton="0" quotePrefix="0" xfId="0">
      <alignment horizontal="right"/>
    </xf>
    <xf numFmtId="1" fontId="5" fillId="0" borderId="1" applyAlignment="1" pivotButton="0" quotePrefix="0" xfId="0">
      <alignment horizontal="right"/>
    </xf>
    <xf numFmtId="164" fontId="5" fillId="0" borderId="1" applyAlignment="1" pivotButton="0" quotePrefix="0" xfId="0">
      <alignment horizontal="right"/>
    </xf>
    <xf numFmtId="0" fontId="4" fillId="4" borderId="0" pivotButton="0" quotePrefix="0" xfId="0"/>
    <xf numFmtId="0" fontId="9" fillId="6" borderId="2" applyAlignment="1" pivotButton="0" quotePrefix="0" xfId="0">
      <alignment indent="1"/>
    </xf>
    <xf numFmtId="0" fontId="8" fillId="0" borderId="1" applyAlignment="1" pivotButton="0" quotePrefix="0" xfId="0">
      <alignment indent="1"/>
    </xf>
    <xf numFmtId="0" fontId="14" fillId="0" borderId="0" pivotButton="0" quotePrefix="0" xfId="0"/>
    <xf numFmtId="0" fontId="7" fillId="0" borderId="0" applyAlignment="1" pivotButton="0" quotePrefix="0" xfId="0">
      <alignment horizontal="center" vertical="center"/>
    </xf>
    <xf numFmtId="164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0" fontId="15" fillId="6" borderId="0" pivotButton="0" quotePrefix="0" xfId="0"/>
    <xf numFmtId="0" fontId="16" fillId="6" borderId="0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Relationships xmlns="http://schemas.openxmlformats.org/package/2006/relationships"><Relationship Type="http://schemas.openxmlformats.org/officeDocument/2006/relationships/hyperlink" Target="https://www.nta.go.jp/taxes/shiraberu/taxanswer/hojin/5762.htm" TargetMode="External" Id="rId1"/><Relationship Type="http://schemas.openxmlformats.org/officeDocument/2006/relationships/hyperlink" Target="https://www.nta.go.jp/taxes/shiraberu/taxanswer/shohi/6153.htm" TargetMode="External" Id="rId2"/><Relationship Type="http://schemas.openxmlformats.org/officeDocument/2006/relationships/hyperlink" Target="https://www.nta.go.jp/taxes/shiraberu/taxanswer/shohi/6221.htm" TargetMode="External" Id="rId3"/><Relationship Type="http://schemas.openxmlformats.org/officeDocument/2006/relationships/hyperlink" Target="https://www.nta.go.jp/taxes/shiraberu/taxanswer/shohi/6501.htm" TargetMode="Externa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42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28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34" customHeight="1">
      <c r="B1" s="1" t="inlineStr">
        <is>
          <t>THE KING'S CATCH — 財務モデル(最大54席)</t>
        </is>
      </c>
      <c r="C1" s="2" t="n"/>
      <c r="D1" s="2" t="n"/>
      <c r="E1" s="2" t="n"/>
      <c r="F1" s="2" t="n"/>
    </row>
    <row r="2">
      <c r="B2" s="3" t="inlineStr">
        <is>
          <t>東京・高級活カニ専門／単位:百万円／version 2026-06-30-foh70-80-84tsubo／青=入力・黒=式・緑=他シート参照</t>
        </is>
      </c>
      <c r="C2" s="2" t="n"/>
      <c r="D2" s="2" t="n"/>
      <c r="E2" s="2" t="n"/>
      <c r="F2" s="2" t="n"/>
    </row>
    <row r="4">
      <c r="B4" s="4" t="inlineStr">
        <is>
          <t>主要指標(KEY METRICS)</t>
        </is>
      </c>
      <c r="C4" s="5" t="n"/>
      <c r="D4" s="5" t="n"/>
      <c r="E4" s="5" t="n"/>
      <c r="F4" s="5" t="n"/>
    </row>
    <row r="5">
      <c r="B5" s="6" t="inlineStr">
        <is>
          <t>席数</t>
        </is>
      </c>
      <c r="C5" s="7" t="inlineStr">
        <is>
          <t>最大54席(ダイニング48+バー6)</t>
        </is>
      </c>
      <c r="E5" s="8" t="inlineStr">
        <is>
          <t>ダイニング48(中央 三角共有ソファ+丸卓3卓18+両サイド 壁ソファ・バンケット+フレックス卓16+2名ソファ2+VIP個室2室〔4席¥28,000/8席¥54,000〕12)+ 見せるバー6席(待ち/ウォークイン)</t>
        </is>
      </c>
    </row>
    <row r="6">
      <c r="B6" s="6" t="inlineStr">
        <is>
          <t>内装投資(build-out)</t>
        </is>
      </c>
      <c r="C6" s="7" t="inlineStr">
        <is>
          <t>¥2.5億</t>
        </is>
      </c>
    </row>
    <row r="7">
      <c r="B7" s="6" t="inlineStr">
        <is>
          <t>支援資本(有利子)</t>
        </is>
      </c>
      <c r="C7" s="7" t="inlineStr">
        <is>
          <t>¥3.20億</t>
        </is>
      </c>
      <c r="E7" s="8" t="inlineStr">
        <is>
          <t>¥280M@1.5%+¥65M@2%・開業後36か月で回収</t>
        </is>
      </c>
    </row>
    <row r="8">
      <c r="B8" s="6" t="inlineStr">
        <is>
          <t>年商 第1期→第5期</t>
        </is>
      </c>
      <c r="C8" s="7" t="inlineStr">
        <is>
          <t>¥6.1億 → ¥8.5億</t>
        </is>
      </c>
      <c r="E8" s="8" t="inlineStr">
        <is>
          <t>売上CAGR 8%</t>
        </is>
      </c>
    </row>
    <row r="9">
      <c r="B9" s="6" t="inlineStr">
        <is>
          <t>営業利益 第1期→第5期</t>
        </is>
      </c>
      <c r="C9" s="7" t="inlineStr">
        <is>
          <t>¥107.1M → ¥223.9M</t>
        </is>
      </c>
      <c r="E9" s="8" t="inlineStr">
        <is>
          <t>17.4% → 26.4%</t>
        </is>
      </c>
    </row>
    <row r="10">
      <c r="B10" s="6" t="inlineStr">
        <is>
          <t>ベース会社</t>
        </is>
      </c>
      <c r="C10" s="7" t="inlineStr">
        <is>
          <t>BookYou(減資→中小法人)</t>
        </is>
      </c>
      <c r="E10" s="8" t="inlineStr">
        <is>
          <t>債務超過−¥23.7M→第1期末に解消</t>
        </is>
      </c>
    </row>
    <row r="11">
      <c r="B11" s="6" t="inlineStr">
        <is>
          <t>繰越欠損金 税シールド</t>
        </is>
      </c>
      <c r="C11" s="7" t="inlineStr">
        <is>
          <t>≈¥95M</t>
        </is>
      </c>
      <c r="E11" s="8" t="inlineStr">
        <is>
          <t>NOL¥280M×34%・中小法人100%控除で第1-2期フル無税(第3期から課税)(別表七要確認)</t>
        </is>
      </c>
    </row>
    <row r="12">
      <c r="B12" s="6" t="inlineStr">
        <is>
          <t>損益分岐 稼働</t>
        </is>
      </c>
      <c r="C12" s="7" t="inlineStr">
        <is>
          <t>約47%</t>
        </is>
      </c>
    </row>
    <row r="14">
      <c r="B14" s="4" t="inlineStr">
        <is>
          <t>モデル整合性(MASTER CHECK)</t>
        </is>
      </c>
      <c r="C14" s="5" t="n"/>
      <c r="D14" s="5" t="n"/>
      <c r="E14" s="5" t="n"/>
      <c r="F14" s="5" t="n"/>
    </row>
    <row r="15">
      <c r="B15" s="6" t="inlineStr">
        <is>
          <t>全チェック合否</t>
        </is>
      </c>
      <c r="C15" s="9">
        <f>Checks!C25</f>
        <v/>
      </c>
    </row>
    <row r="17">
      <c r="B17" s="4" t="inlineStr">
        <is>
          <t>色分け凡例(FAST/ICAEW)</t>
        </is>
      </c>
      <c r="C17" s="5" t="n"/>
      <c r="D17" s="5" t="n"/>
      <c r="E17" s="5" t="n"/>
      <c r="F17" s="5" t="n"/>
    </row>
    <row r="18">
      <c r="B18" s="10" t="inlineStr">
        <is>
          <t>■</t>
        </is>
      </c>
      <c r="C18" s="11" t="inlineStr">
        <is>
          <t>青字+水色塗り = 入力(前提値)</t>
        </is>
      </c>
    </row>
    <row r="19">
      <c r="B19" s="11" t="inlineStr">
        <is>
          <t>■</t>
        </is>
      </c>
      <c r="C19" s="11" t="inlineStr">
        <is>
          <t>黒字 = 同一シート内の式</t>
        </is>
      </c>
    </row>
    <row r="20">
      <c r="B20" s="12" t="inlineStr">
        <is>
          <t>■</t>
        </is>
      </c>
      <c r="C20" s="11" t="inlineStr">
        <is>
          <t>緑字 = 他シート参照</t>
        </is>
      </c>
    </row>
    <row r="22">
      <c r="B22" s="4" t="inlineStr">
        <is>
          <t>タブ構成(CONTENTS・全20タブ)</t>
        </is>
      </c>
      <c r="C22" s="5" t="n"/>
      <c r="D22" s="5" t="n"/>
      <c r="E22" s="5" t="n"/>
      <c r="F22" s="5" t="n"/>
    </row>
    <row r="23">
      <c r="B23" s="8" t="inlineStr">
        <is>
          <t>・①前提条件=全ドライバー(青)+原価費用内訳</t>
        </is>
      </c>
    </row>
    <row r="24">
      <c r="B24" s="8" t="inlineStr">
        <is>
          <t>・②損益計算書=年次P&amp;L+成長率(YoY/CAGR)</t>
        </is>
      </c>
    </row>
    <row r="25">
      <c r="B25" s="8" t="inlineStr">
        <is>
          <t>・③月次(全5期)=5期×12ヶ月の月次損益(横並び)+EBITDA/返済/借入残高</t>
        </is>
      </c>
    </row>
    <row r="26">
      <c r="B26" s="8" t="inlineStr">
        <is>
          <t>・④貸借対照表=各期末BS(貸借一致)</t>
        </is>
      </c>
    </row>
    <row r="27">
      <c r="B27" s="8" t="inlineStr">
        <is>
          <t>・⑤CF・借入返済=CF+返済スケジュール</t>
        </is>
      </c>
    </row>
    <row r="28">
      <c r="B28" s="8" t="inlineStr">
        <is>
          <t>・⑥売上ビルド=メニュー別・客数積上(ボトムアップ)</t>
        </is>
      </c>
    </row>
    <row r="29">
      <c r="B29" s="8" t="inlineStr">
        <is>
          <t>・⑦人員スケジュール=誰がいつから・月次人件費</t>
        </is>
      </c>
    </row>
    <row r="30">
      <c r="B30" s="8" t="inlineStr">
        <is>
          <t>・⑧KPI・感応度=単位経済+稼働×客単価ヒートマップ</t>
        </is>
      </c>
    </row>
    <row r="31">
      <c r="B31" s="8" t="inlineStr">
        <is>
          <t>・⑨減価償却スケジュール=資産別10クラス・別表準拠・期末簿価</t>
        </is>
      </c>
    </row>
    <row r="32">
      <c r="B32" s="8" t="inlineStr">
        <is>
          <t>・⑩カニ調達・原価(物理)=客数→活kg→物理原価・ratio照合</t>
        </is>
      </c>
    </row>
    <row r="33">
      <c r="B33" s="8" t="inlineStr">
        <is>
          <t>・⑪運転資本スケジュール=AR/AP/在庫/NWC/ΔNWC・下請法DPO</t>
        </is>
      </c>
    </row>
    <row r="34">
      <c r="B34" s="8" t="inlineStr">
        <is>
          <t>・⑫税スケジュール=軽減税率/NOL/防衛特別法人税/実効税率</t>
        </is>
      </c>
    </row>
    <row r="35">
      <c r="B35" s="8" t="inlineStr">
        <is>
          <t>・⑬DCFバリュエーション=FCFF/ターミナル/企業価値/WACC×g感応度</t>
        </is>
      </c>
    </row>
    <row r="36">
      <c r="B36" s="8" t="inlineStr">
        <is>
          <t>・⑭資本構造=BookYou初期回収型(Partner→BookYou¥280M+Partner→店¥65M・50:50・36ヶ月)</t>
        </is>
      </c>
    </row>
    <row r="37">
      <c r="B37" s="8" t="inlineStr">
        <is>
          <t>・⑮Initial Recovery 年次=報酬/NOL/両融資の年次プロファイル(engine48)</t>
        </is>
      </c>
    </row>
    <row r="38">
      <c r="B38" s="8" t="inlineStr">
        <is>
          <t>・⑯BookYou欠損金=NOLスケジュール(期首280→使用→期末)</t>
        </is>
      </c>
    </row>
    <row r="39">
      <c r="B39" s="8" t="inlineStr">
        <is>
          <t>・⑰Terminal Value=出口企業価値(株式価値)・確定現金回収・両者帰属</t>
        </is>
      </c>
    </row>
    <row r="40">
      <c r="B40" s="8" t="inlineStr">
        <is>
          <t>・⑱Sources=NTA出典(繰越欠損金/消費税)+免責</t>
        </is>
      </c>
    </row>
    <row r="41">
      <c r="B41" s="8" t="inlineStr">
        <is>
          <t>・⑲Checks=整合チェック+サニティ+restructure(MASTER)</t>
        </is>
      </c>
    </row>
    <row r="42">
      <c r="B42" s="8" t="inlineStr">
        <is>
          <t>・⑳表紙=本ダッシュボード</t>
        </is>
      </c>
    </row>
  </sheetData>
  <mergeCells count="36">
    <mergeCell ref="C6:D6"/>
    <mergeCell ref="B25:F25"/>
    <mergeCell ref="C5:D5"/>
    <mergeCell ref="E5:F5"/>
    <mergeCell ref="B31:F31"/>
    <mergeCell ref="E8:F8"/>
    <mergeCell ref="B27:F27"/>
    <mergeCell ref="B39:F39"/>
    <mergeCell ref="C10:D10"/>
    <mergeCell ref="B2:F2"/>
    <mergeCell ref="E10:F10"/>
    <mergeCell ref="B42:F42"/>
    <mergeCell ref="B23:F23"/>
    <mergeCell ref="B1:F1"/>
    <mergeCell ref="C9:D9"/>
    <mergeCell ref="E9:F9"/>
    <mergeCell ref="C12:D12"/>
    <mergeCell ref="B29:F29"/>
    <mergeCell ref="B38:F38"/>
    <mergeCell ref="B34:F34"/>
    <mergeCell ref="C11:D11"/>
    <mergeCell ref="B28:F28"/>
    <mergeCell ref="E11:F11"/>
    <mergeCell ref="B37:F37"/>
    <mergeCell ref="B40:F40"/>
    <mergeCell ref="C8:D8"/>
    <mergeCell ref="B30:F30"/>
    <mergeCell ref="C7:D7"/>
    <mergeCell ref="B24:F24"/>
    <mergeCell ref="E7:F7"/>
    <mergeCell ref="B33:F33"/>
    <mergeCell ref="B36:F36"/>
    <mergeCell ref="B32:F32"/>
    <mergeCell ref="B26:F26"/>
    <mergeCell ref="B41:F41"/>
    <mergeCell ref="B35:F35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1:N24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2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22" customWidth="1" min="8" max="8"/>
    <col width="24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2" customHeight="1">
      <c r="B1" s="1" t="inlineStr">
        <is>
          <t>減価償却スケジュール(資産別)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B2" s="3" t="inlineStr">
        <is>
          <t>build-out¥250Mを耐用年数別10資産に配賦／定額法・別表第一/第二準拠／青=入力・黒=式／J-N列=各期 life-gate 償却(耐用年数到来で脱落)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4">
      <c r="B4" s="14" t="inlineStr">
        <is>
          <t>資産クラス</t>
        </is>
      </c>
      <c r="C4" s="14" t="inlineStr">
        <is>
          <t>配賦¥M</t>
        </is>
      </c>
      <c r="D4" s="14" t="inlineStr">
        <is>
          <t>法定耐用年数</t>
        </is>
      </c>
      <c r="E4" s="14" t="inlineStr">
        <is>
          <t>定額償却率</t>
        </is>
      </c>
      <c r="F4" s="14" t="inlineStr">
        <is>
          <t>年償却¥M</t>
        </is>
      </c>
      <c r="G4" s="14" t="inlineStr">
        <is>
          <t>残存(参考)</t>
        </is>
      </c>
      <c r="H4" s="14" t="inlineStr">
        <is>
          <t>構成比</t>
        </is>
      </c>
      <c r="I4" s="14" t="inlineStr">
        <is>
          <t>別表根拠</t>
        </is>
      </c>
      <c r="J4" s="14" t="inlineStr">
        <is>
          <t>第1期償却</t>
        </is>
      </c>
      <c r="K4" s="14" t="inlineStr">
        <is>
          <t>第2期償却</t>
        </is>
      </c>
      <c r="L4" s="14" t="inlineStr">
        <is>
          <t>第3期償却</t>
        </is>
      </c>
      <c r="M4" s="14" t="inlineStr">
        <is>
          <t>第4期償却</t>
        </is>
      </c>
      <c r="N4" s="14" t="inlineStr">
        <is>
          <t>第5期償却</t>
        </is>
      </c>
    </row>
    <row r="5">
      <c r="B5" s="6" t="inlineStr">
        <is>
          <t>内装造作</t>
        </is>
      </c>
      <c r="C5" s="18" t="n">
        <v>64</v>
      </c>
      <c r="D5" s="50" t="n">
        <v>15</v>
      </c>
      <c r="E5" s="61" t="n">
        <v>0.067</v>
      </c>
      <c r="F5" s="27">
        <f>C5*E5</f>
        <v/>
      </c>
      <c r="G5" s="27">
        <f>C5</f>
        <v/>
      </c>
      <c r="H5" s="26">
        <f>C5/$C$15</f>
        <v/>
      </c>
      <c r="I5" s="8" t="inlineStr">
        <is>
          <t>法基通7-3-8(他人建物造作)</t>
        </is>
      </c>
      <c r="J5" s="27">
        <f>IF(1&lt;=$D5,$C5*$E5,0)</f>
        <v/>
      </c>
      <c r="K5" s="27">
        <f>IF(2&lt;=$D5,$C5*$E5,0)</f>
        <v/>
      </c>
      <c r="L5" s="27">
        <f>IF(3&lt;=$D5,$C5*$E5,0)</f>
        <v/>
      </c>
      <c r="M5" s="27">
        <f>IF(4&lt;=$D5,$C5*$E5,0)</f>
        <v/>
      </c>
      <c r="N5" s="27">
        <f>IF(5&lt;=$D5,$C5*$E5,0)</f>
        <v/>
      </c>
    </row>
    <row r="6">
      <c r="B6" s="6" t="inlineStr">
        <is>
          <t>電気設備</t>
        </is>
      </c>
      <c r="C6" s="18" t="n">
        <v>33</v>
      </c>
      <c r="D6" s="50" t="n">
        <v>15</v>
      </c>
      <c r="E6" s="61" t="n">
        <v>0.067</v>
      </c>
      <c r="F6" s="27">
        <f>C6*E6</f>
        <v/>
      </c>
      <c r="G6" s="27">
        <f>C6</f>
        <v/>
      </c>
      <c r="H6" s="26">
        <f>C6/$C$15</f>
        <v/>
      </c>
      <c r="I6" s="8" t="inlineStr">
        <is>
          <t>別表一 建物附属(電気)</t>
        </is>
      </c>
      <c r="J6" s="27">
        <f>IF(1&lt;=$D6,$C6*$E6,0)</f>
        <v/>
      </c>
      <c r="K6" s="27">
        <f>IF(2&lt;=$D6,$C6*$E6,0)</f>
        <v/>
      </c>
      <c r="L6" s="27">
        <f>IF(3&lt;=$D6,$C6*$E6,0)</f>
        <v/>
      </c>
      <c r="M6" s="27">
        <f>IF(4&lt;=$D6,$C6*$E6,0)</f>
        <v/>
      </c>
      <c r="N6" s="27">
        <f>IF(5&lt;=$D6,$C6*$E6,0)</f>
        <v/>
      </c>
    </row>
    <row r="7">
      <c r="B7" s="6" t="inlineStr">
        <is>
          <t>給排水・衛生・ガス</t>
        </is>
      </c>
      <c r="C7" s="18" t="n">
        <v>30</v>
      </c>
      <c r="D7" s="50" t="n">
        <v>15</v>
      </c>
      <c r="E7" s="61" t="n">
        <v>0.067</v>
      </c>
      <c r="F7" s="27">
        <f>C7*E7</f>
        <v/>
      </c>
      <c r="G7" s="27">
        <f>C7</f>
        <v/>
      </c>
      <c r="H7" s="26">
        <f>C7/$C$15</f>
        <v/>
      </c>
      <c r="I7" s="8" t="inlineStr">
        <is>
          <t>別表一 給排水衛生</t>
        </is>
      </c>
      <c r="J7" s="27">
        <f>IF(1&lt;=$D7,$C7*$E7,0)</f>
        <v/>
      </c>
      <c r="K7" s="27">
        <f>IF(2&lt;=$D7,$C7*$E7,0)</f>
        <v/>
      </c>
      <c r="L7" s="27">
        <f>IF(3&lt;=$D7,$C7*$E7,0)</f>
        <v/>
      </c>
      <c r="M7" s="27">
        <f>IF(4&lt;=$D7,$C7*$E7,0)</f>
        <v/>
      </c>
      <c r="N7" s="27">
        <f>IF(5&lt;=$D7,$C7*$E7,0)</f>
        <v/>
      </c>
    </row>
    <row r="8">
      <c r="B8" s="6" t="inlineStr">
        <is>
          <t>冷暖房・換気(&gt;22kW)</t>
        </is>
      </c>
      <c r="C8" s="18" t="n">
        <v>31</v>
      </c>
      <c r="D8" s="50" t="n">
        <v>13</v>
      </c>
      <c r="E8" s="61" t="n">
        <v>0.077</v>
      </c>
      <c r="F8" s="27">
        <f>C8*E8</f>
        <v/>
      </c>
      <c r="G8" s="27">
        <f>C8</f>
        <v/>
      </c>
      <c r="H8" s="26">
        <f>C8/$C$15</f>
        <v/>
      </c>
      <c r="I8" s="8" t="inlineStr">
        <is>
          <t>別表一 冷暖房(22kW超)</t>
        </is>
      </c>
      <c r="J8" s="27">
        <f>IF(1&lt;=$D8,$C8*$E8,0)</f>
        <v/>
      </c>
      <c r="K8" s="27">
        <f>IF(2&lt;=$D8,$C8*$E8,0)</f>
        <v/>
      </c>
      <c r="L8" s="27">
        <f>IF(3&lt;=$D8,$C8*$E8,0)</f>
        <v/>
      </c>
      <c r="M8" s="27">
        <f>IF(4&lt;=$D8,$C8*$E8,0)</f>
        <v/>
      </c>
      <c r="N8" s="27">
        <f>IF(5&lt;=$D8,$C8*$E8,0)</f>
        <v/>
      </c>
    </row>
    <row r="9">
      <c r="B9" s="6" t="inlineStr">
        <is>
          <t>厨房設備</t>
        </is>
      </c>
      <c r="C9" s="18" t="n">
        <v>42</v>
      </c>
      <c r="D9" s="50" t="n">
        <v>8</v>
      </c>
      <c r="E9" s="61" t="n">
        <v>0.125</v>
      </c>
      <c r="F9" s="27">
        <f>C9*E9</f>
        <v/>
      </c>
      <c r="G9" s="27">
        <f>C9</f>
        <v/>
      </c>
      <c r="H9" s="26">
        <f>C9/$C$15</f>
        <v/>
      </c>
      <c r="I9" s="8" t="inlineStr">
        <is>
          <t>別表二 飲食店業用設備</t>
        </is>
      </c>
      <c r="J9" s="27">
        <f>IF(1&lt;=$D9,$C9*$E9,0)</f>
        <v/>
      </c>
      <c r="K9" s="27">
        <f>IF(2&lt;=$D9,$C9*$E9,0)</f>
        <v/>
      </c>
      <c r="L9" s="27">
        <f>IF(3&lt;=$D9,$C9*$E9,0)</f>
        <v/>
      </c>
      <c r="M9" s="27">
        <f>IF(4&lt;=$D9,$C9*$E9,0)</f>
        <v/>
      </c>
      <c r="N9" s="27">
        <f>IF(5&lt;=$D9,$C9*$E9,0)</f>
        <v/>
      </c>
    </row>
    <row r="10">
      <c r="B10" s="6" t="inlineStr">
        <is>
          <t>生簀/水槽システム</t>
        </is>
      </c>
      <c r="C10" s="18" t="n">
        <v>17</v>
      </c>
      <c r="D10" s="50" t="n">
        <v>8</v>
      </c>
      <c r="E10" s="61" t="n">
        <v>0.125</v>
      </c>
      <c r="F10" s="27">
        <f>C10*E10</f>
        <v/>
      </c>
      <c r="G10" s="27">
        <f>C10</f>
        <v/>
      </c>
      <c r="H10" s="26">
        <f>C10/$C$15</f>
        <v/>
      </c>
      <c r="I10" s="8" t="inlineStr">
        <is>
          <t>飲食店業用設備に準ず</t>
        </is>
      </c>
      <c r="J10" s="27">
        <f>IF(1&lt;=$D10,$C10*$E10,0)</f>
        <v/>
      </c>
      <c r="K10" s="27">
        <f>IF(2&lt;=$D10,$C10*$E10,0)</f>
        <v/>
      </c>
      <c r="L10" s="27">
        <f>IF(3&lt;=$D10,$C10*$E10,0)</f>
        <v/>
      </c>
      <c r="M10" s="27">
        <f>IF(4&lt;=$D10,$C10*$E10,0)</f>
        <v/>
      </c>
      <c r="N10" s="27">
        <f>IF(5&lt;=$D10,$C10*$E10,0)</f>
        <v/>
      </c>
    </row>
    <row r="11">
      <c r="B11" s="6" t="inlineStr">
        <is>
          <t>家具什器</t>
        </is>
      </c>
      <c r="C11" s="18" t="n">
        <v>21</v>
      </c>
      <c r="D11" s="50" t="n">
        <v>5</v>
      </c>
      <c r="E11" s="61" t="n">
        <v>0.2</v>
      </c>
      <c r="F11" s="27">
        <f>C11*E11</f>
        <v/>
      </c>
      <c r="G11" s="27">
        <f>C11</f>
        <v/>
      </c>
      <c r="H11" s="26">
        <f>C11/$C$15</f>
        <v/>
      </c>
      <c r="I11" s="8" t="inlineStr">
        <is>
          <t>別表一 接客業用家具</t>
        </is>
      </c>
      <c r="J11" s="27">
        <f>IF(1&lt;=$D11,$C11*$E11,0)</f>
        <v/>
      </c>
      <c r="K11" s="27">
        <f>IF(2&lt;=$D11,$C11*$E11,0)</f>
        <v/>
      </c>
      <c r="L11" s="27">
        <f>IF(3&lt;=$D11,$C11*$E11,0)</f>
        <v/>
      </c>
      <c r="M11" s="27">
        <f>IF(4&lt;=$D11,$C11*$E11,0)</f>
        <v/>
      </c>
      <c r="N11" s="27">
        <f>IF(5&lt;=$D11,$C11*$E11,0)</f>
        <v/>
      </c>
    </row>
    <row r="12">
      <c r="B12" s="6" t="inlineStr">
        <is>
          <t>冷蔵・冷凍</t>
        </is>
      </c>
      <c r="C12" s="18" t="n">
        <v>8</v>
      </c>
      <c r="D12" s="50" t="n">
        <v>6</v>
      </c>
      <c r="E12" s="61" t="n">
        <v>0.167</v>
      </c>
      <c r="F12" s="27">
        <f>C12*E12</f>
        <v/>
      </c>
      <c r="G12" s="27">
        <f>C12</f>
        <v/>
      </c>
      <c r="H12" s="26">
        <f>C12/$C$15</f>
        <v/>
      </c>
      <c r="I12" s="8" t="inlineStr">
        <is>
          <t>別表一 電気冷蔵庫</t>
        </is>
      </c>
      <c r="J12" s="27">
        <f>IF(1&lt;=$D12,$C12*$E12,0)</f>
        <v/>
      </c>
      <c r="K12" s="27">
        <f>IF(2&lt;=$D12,$C12*$E12,0)</f>
        <v/>
      </c>
      <c r="L12" s="27">
        <f>IF(3&lt;=$D12,$C12*$E12,0)</f>
        <v/>
      </c>
      <c r="M12" s="27">
        <f>IF(4&lt;=$D12,$C12*$E12,0)</f>
        <v/>
      </c>
      <c r="N12" s="27">
        <f>IF(5&lt;=$D12,$C12*$E12,0)</f>
        <v/>
      </c>
    </row>
    <row r="13">
      <c r="B13" s="6" t="inlineStr">
        <is>
          <t>看板・サイン</t>
        </is>
      </c>
      <c r="C13" s="18" t="n">
        <v>2</v>
      </c>
      <c r="D13" s="50" t="n">
        <v>3</v>
      </c>
      <c r="E13" s="61" t="n">
        <v>0.334</v>
      </c>
      <c r="F13" s="27">
        <f>C13*E13</f>
        <v/>
      </c>
      <c r="G13" s="27">
        <f>C13</f>
        <v/>
      </c>
      <c r="H13" s="26">
        <f>C13/$C$15</f>
        <v/>
      </c>
      <c r="I13" s="8" t="inlineStr">
        <is>
          <t>別表一 看板ネオン</t>
        </is>
      </c>
      <c r="J13" s="27">
        <f>IF(1&lt;=$D13,$C13*$E13,0)</f>
        <v/>
      </c>
      <c r="K13" s="27">
        <f>IF(2&lt;=$D13,$C13*$E13,0)</f>
        <v/>
      </c>
      <c r="L13" s="27">
        <f>IF(3&lt;=$D13,$C13*$E13,0)</f>
        <v/>
      </c>
      <c r="M13" s="27">
        <f>IF(4&lt;=$D13,$C13*$E13,0)</f>
        <v/>
      </c>
      <c r="N13" s="27">
        <f>IF(5&lt;=$D13,$C13*$E13,0)</f>
        <v/>
      </c>
    </row>
    <row r="14">
      <c r="B14" s="6" t="inlineStr">
        <is>
          <t>食器・小物</t>
        </is>
      </c>
      <c r="C14" s="18" t="n">
        <v>2</v>
      </c>
      <c r="D14" s="50" t="n">
        <v>5</v>
      </c>
      <c r="E14" s="61" t="n">
        <v>0.2</v>
      </c>
      <c r="F14" s="27">
        <f>C14*E14</f>
        <v/>
      </c>
      <c r="G14" s="27">
        <f>C14</f>
        <v/>
      </c>
      <c r="H14" s="26">
        <f>C14/$C$15</f>
        <v/>
      </c>
      <c r="I14" s="8" t="inlineStr">
        <is>
          <t>別表一 ちゅう房用品</t>
        </is>
      </c>
      <c r="J14" s="27">
        <f>IF(1&lt;=$D14,$C14*$E14,0)</f>
        <v/>
      </c>
      <c r="K14" s="27">
        <f>IF(2&lt;=$D14,$C14*$E14,0)</f>
        <v/>
      </c>
      <c r="L14" s="27">
        <f>IF(3&lt;=$D14,$C14*$E14,0)</f>
        <v/>
      </c>
      <c r="M14" s="27">
        <f>IF(4&lt;=$D14,$C14*$E14,0)</f>
        <v/>
      </c>
      <c r="N14" s="27">
        <f>IF(5&lt;=$D14,$C14*$E14,0)</f>
        <v/>
      </c>
    </row>
    <row r="15">
      <c r="B15" s="19" t="inlineStr">
        <is>
          <t>合計</t>
        </is>
      </c>
      <c r="C15" s="20">
        <f>SUM(C5:C14)</f>
        <v/>
      </c>
      <c r="D15" s="53">
        <f>C15/F15</f>
        <v/>
      </c>
      <c r="E15" s="32" t="n"/>
      <c r="F15" s="20">
        <f>SUM(F5:F14)</f>
        <v/>
      </c>
      <c r="G15" s="32" t="n"/>
      <c r="H15" s="32" t="n"/>
      <c r="I15" s="32" t="n"/>
      <c r="J15" s="20">
        <f>SUM(J5:J14)</f>
        <v/>
      </c>
      <c r="K15" s="20">
        <f>SUM(K5:K14)</f>
        <v/>
      </c>
      <c r="L15" s="20">
        <f>SUM(L5:L14)</f>
        <v/>
      </c>
      <c r="M15" s="20">
        <f>SUM(M5:M14)</f>
        <v/>
      </c>
      <c r="N15" s="20">
        <f>SUM(N5:N14)</f>
        <v/>
      </c>
    </row>
    <row r="16">
      <c r="B16" s="28" t="inlineStr">
        <is>
          <t>検算: Σ配賦 − build-out(¥250M)</t>
        </is>
      </c>
      <c r="C16" s="39">
        <f>C15-'前提条件'!C27</f>
        <v/>
      </c>
      <c r="E16" s="62" t="inlineStr">
        <is>
          <t>Σ年償却 − P&amp;L償却(第1期)</t>
        </is>
      </c>
      <c r="F16" s="39">
        <f>F15-'前提条件'!C20</f>
        <v/>
      </c>
    </row>
    <row r="18">
      <c r="B18" s="15" t="inlineStr">
        <is>
          <t>5期 償却プロファイル・期末純額(¥M)</t>
        </is>
      </c>
      <c r="C18" s="16" t="n"/>
      <c r="D18" s="16" t="n"/>
      <c r="E18" s="16" t="n"/>
      <c r="F18" s="16" t="n"/>
      <c r="G18" s="16" t="n"/>
    </row>
    <row r="19">
      <c r="B19" s="13" t="inlineStr">
        <is>
          <t>科目</t>
        </is>
      </c>
      <c r="C19" s="14" t="inlineStr">
        <is>
          <t>第1期</t>
        </is>
      </c>
      <c r="D19" s="14" t="inlineStr">
        <is>
          <t>第2期</t>
        </is>
      </c>
      <c r="E19" s="14" t="inlineStr">
        <is>
          <t>第3期</t>
        </is>
      </c>
      <c r="F19" s="14" t="inlineStr">
        <is>
          <t>第4期</t>
        </is>
      </c>
      <c r="G19" s="14" t="inlineStr">
        <is>
          <t>第5期</t>
        </is>
      </c>
    </row>
    <row r="20">
      <c r="B20" s="21" t="inlineStr">
        <is>
          <t>年償却費(P&amp;L償却)</t>
        </is>
      </c>
      <c r="C20" s="22">
        <f>'前提条件'!C20</f>
        <v/>
      </c>
      <c r="D20" s="22">
        <f>'前提条件'!D20</f>
        <v/>
      </c>
      <c r="E20" s="22">
        <f>'前提条件'!E20</f>
        <v/>
      </c>
      <c r="F20" s="22">
        <f>'前提条件'!F20</f>
        <v/>
      </c>
      <c r="G20" s="22">
        <f>'前提条件'!G20</f>
        <v/>
      </c>
    </row>
    <row r="21">
      <c r="B21" s="28" t="inlineStr">
        <is>
          <t>検算: 各期 スケジュール償却 − P&amp;L償却(全5期=0)</t>
        </is>
      </c>
      <c r="C21" s="39">
        <f>ROUND(減価償却スケジュール!J15,1)-C20</f>
        <v/>
      </c>
      <c r="D21" s="39">
        <f>ROUND(減価償却スケジュール!K15,1)-D20</f>
        <v/>
      </c>
      <c r="E21" s="39">
        <f>ROUND(減価償却スケジュール!L15,1)-E20</f>
        <v/>
      </c>
      <c r="F21" s="39">
        <f>ROUND(減価償却スケジュール!M15,1)-F20</f>
        <v/>
      </c>
      <c r="G21" s="39">
        <f>ROUND(減価償却スケジュール!N15,1)-G20</f>
        <v/>
      </c>
    </row>
    <row r="22">
      <c r="B22" s="6" t="inlineStr">
        <is>
          <t>減価償却 累計</t>
        </is>
      </c>
      <c r="C22" s="27">
        <f>SUM('前提条件'!$C$20:C20)</f>
        <v/>
      </c>
      <c r="D22" s="27">
        <f>SUM('前提条件'!$C$20:D20)</f>
        <v/>
      </c>
      <c r="E22" s="27">
        <f>SUM('前提条件'!$C$20:E20)</f>
        <v/>
      </c>
      <c r="F22" s="27">
        <f>SUM('前提条件'!$C$20:F20)</f>
        <v/>
      </c>
      <c r="G22" s="27">
        <f>SUM('前提条件'!$C$20:G20)</f>
        <v/>
      </c>
    </row>
    <row r="23">
      <c r="B23" s="19" t="inlineStr">
        <is>
          <t>期末 簿価純額(取得−累計)</t>
        </is>
      </c>
      <c r="C23" s="20">
        <f>'前提条件'!$C$27-C22</f>
        <v/>
      </c>
      <c r="D23" s="20">
        <f>'前提条件'!$C$27-D22</f>
        <v/>
      </c>
      <c r="E23" s="20">
        <f>'前提条件'!$C$27-E22</f>
        <v/>
      </c>
      <c r="F23" s="20">
        <f>'前提条件'!$C$27-F22</f>
        <v/>
      </c>
      <c r="G23" s="20">
        <f>'前提条件'!$C$27-G22</f>
        <v/>
      </c>
    </row>
    <row r="24">
      <c r="B24" s="8" t="inlineStr">
        <is>
          <t>※ 配賦¥250M=build-out(『前提条件』設備投資)を別表第一(建物附属/家具/看板)・別表第二(飲食店業用設備=厨房/生簀)へ耐用年数別に配賦。J-N列=各期 life-gate 償却(配賦×定額率・期≤法定耐用年数の時のみ)を資産横断で合計。この合計行(J15:N15)が『前提条件』減価償却費(C20:G20)→P&amp;L→DCFの償却プロファイルのエンジン(1年限りの attestation を反転=スケジュール駆動)。</t>
        </is>
      </c>
    </row>
  </sheetData>
  <mergeCells count="3">
    <mergeCell ref="B1:N1"/>
    <mergeCell ref="B24:N24"/>
    <mergeCell ref="B2:N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1:N36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0" customWidth="1" min="2" max="2"/>
    <col width="6.4" customWidth="1" min="3" max="3"/>
    <col width="6.4" customWidth="1" min="4" max="4"/>
    <col width="6.4" customWidth="1" min="5" max="5"/>
    <col width="6.4" customWidth="1" min="6" max="6"/>
    <col width="6.4" customWidth="1" min="7" max="7"/>
    <col width="6.4" customWidth="1" min="8" max="8"/>
    <col width="6.4" customWidth="1" min="9" max="9"/>
    <col width="6.4" customWidth="1" min="10" max="10"/>
    <col width="6.4" customWidth="1" min="11" max="11"/>
    <col width="6.4" customWidth="1" min="12" max="12"/>
    <col width="6.4" customWidth="1" min="13" max="13"/>
    <col width="6.4" customWidth="1" min="14" max="14"/>
  </cols>
  <sheetData>
    <row r="1" ht="32" customHeight="1">
      <c r="B1" s="1" t="inlineStr">
        <is>
          <t>カニ調達・原価(物理ボトムアップ)</t>
        </is>
      </c>
      <c r="C1" s="2" t="n"/>
      <c r="D1" s="2" t="n"/>
      <c r="E1" s="2" t="n"/>
      <c r="F1" s="2" t="n"/>
      <c r="G1" s="2" t="n"/>
    </row>
    <row r="2">
      <c r="B2" s="3" t="inlineStr">
        <is>
          <t>客数→殻付活kg→タラバ/毛蟹配分→物理カニ原価。ratio版(食材原価×0.60)と二層照合／青=入力・黒=式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客数ドライバー(『売上ビルド』『KPI』と同一ロジック)</t>
        </is>
      </c>
      <c r="C5" s="16" t="n"/>
      <c r="D5" s="16" t="n"/>
      <c r="E5" s="16" t="n"/>
      <c r="F5" s="16" t="n"/>
      <c r="G5" s="16" t="n"/>
    </row>
    <row r="6">
      <c r="B6" s="6" t="inlineStr">
        <is>
          <t>床カバー数(席×稼働×回転×営業日)</t>
        </is>
      </c>
      <c r="C6" s="45" t="n">
        <v>7527</v>
      </c>
      <c r="D6" s="45" t="n">
        <v>8758</v>
      </c>
      <c r="E6" s="45" t="n">
        <v>9579</v>
      </c>
      <c r="F6" s="45" t="n">
        <v>9853</v>
      </c>
      <c r="G6" s="45" t="n">
        <v>10127</v>
      </c>
    </row>
    <row r="7">
      <c r="B7" s="6" t="inlineStr">
        <is>
          <t>VIP個室カバー数(席×稼働×営業日)</t>
        </is>
      </c>
      <c r="C7" s="45" t="n">
        <v>2029</v>
      </c>
      <c r="D7" s="45" t="n">
        <v>2795</v>
      </c>
      <c r="E7" s="45" t="n">
        <v>3246</v>
      </c>
      <c r="F7" s="45" t="n">
        <v>3516</v>
      </c>
      <c r="G7" s="45" t="n">
        <v>3697</v>
      </c>
    </row>
    <row r="8">
      <c r="B8" s="19" t="inlineStr">
        <is>
          <t>総covers</t>
        </is>
      </c>
      <c r="C8" s="51">
        <f>C6+C7</f>
        <v/>
      </c>
      <c r="D8" s="51">
        <f>D6+D7</f>
        <v/>
      </c>
      <c r="E8" s="51">
        <f>E6+E7</f>
        <v/>
      </c>
      <c r="F8" s="51">
        <f>F6+F7</f>
        <v/>
      </c>
      <c r="G8" s="51">
        <f>G6+G7</f>
        <v/>
      </c>
    </row>
    <row r="10">
      <c r="B10" s="15" t="inlineStr">
        <is>
          <t>物理カニ調達(殻付き活ベース)</t>
        </is>
      </c>
      <c r="C10" s="16" t="n"/>
      <c r="D10" s="16" t="n"/>
      <c r="E10" s="16" t="n"/>
      <c r="F10" s="16" t="n"/>
      <c r="G10" s="16" t="n"/>
    </row>
    <row r="11">
      <c r="B11" s="6" t="inlineStr">
        <is>
          <t>殻付活kg/cover(青=入力)</t>
        </is>
      </c>
      <c r="C11" s="42" t="n">
        <v>0.67</v>
      </c>
    </row>
    <row r="12">
      <c r="B12" s="6" t="inlineStr">
        <is>
          <t>殻付活 総重量(kg)=covers×kg/cover</t>
        </is>
      </c>
      <c r="C12" s="45">
        <f>C8*$C$11</f>
        <v/>
      </c>
      <c r="D12" s="45">
        <f>D8*$C$11</f>
        <v/>
      </c>
      <c r="E12" s="45">
        <f>E8*$C$11</f>
        <v/>
      </c>
      <c r="F12" s="45">
        <f>F8*$C$11</f>
        <v/>
      </c>
      <c r="G12" s="45">
        <f>G8*$C$11</f>
        <v/>
      </c>
    </row>
    <row r="13">
      <c r="B13" s="6" t="inlineStr">
        <is>
          <t>タラバ:毛蟹 重量比(タラバ・青)</t>
        </is>
      </c>
      <c r="C13" s="42" t="n">
        <v>0.73</v>
      </c>
    </row>
    <row r="14">
      <c r="B14" s="6" t="inlineStr">
        <is>
          <t xml:space="preserve">  タラバ配分(kg)</t>
        </is>
      </c>
      <c r="C14" s="45">
        <f>C12*$C$13</f>
        <v/>
      </c>
      <c r="D14" s="45">
        <f>D12*$C$13</f>
        <v/>
      </c>
      <c r="E14" s="45">
        <f>E12*$C$13</f>
        <v/>
      </c>
      <c r="F14" s="45">
        <f>F12*$C$13</f>
        <v/>
      </c>
      <c r="G14" s="45">
        <f>G12*$C$13</f>
        <v/>
      </c>
    </row>
    <row r="15">
      <c r="B15" s="6" t="inlineStr">
        <is>
          <t xml:space="preserve">  毛蟹配分(kg)</t>
        </is>
      </c>
      <c r="C15" s="45">
        <f>C12*(1-$C$13)</f>
        <v/>
      </c>
      <c r="D15" s="45">
        <f>D12*(1-$C$13)</f>
        <v/>
      </c>
      <c r="E15" s="45">
        <f>E12*(1-$C$13)</f>
        <v/>
      </c>
      <c r="F15" s="45">
        <f>F12*(1-$C$13)</f>
        <v/>
      </c>
      <c r="G15" s="45">
        <f>G12*(1-$C$13)</f>
        <v/>
      </c>
    </row>
    <row r="16">
      <c r="B16" s="6" t="inlineStr">
        <is>
          <t>活タラバ 仕入¥/kg(青)</t>
        </is>
      </c>
      <c r="C16" s="24" t="n">
        <v>12000</v>
      </c>
    </row>
    <row r="17">
      <c r="B17" s="6" t="inlineStr">
        <is>
          <t>活毛蟹 仕入¥/kg(青)</t>
        </is>
      </c>
      <c r="C17" s="24" t="n">
        <v>22000</v>
      </c>
    </row>
    <row r="18">
      <c r="B18" s="6" t="inlineStr">
        <is>
          <t xml:space="preserve">  タラバ原価¥M</t>
        </is>
      </c>
      <c r="C18" s="27">
        <f>C14*$C$16/1000000</f>
        <v/>
      </c>
      <c r="D18" s="27">
        <f>D14*$C$16/1000000</f>
        <v/>
      </c>
      <c r="E18" s="27">
        <f>E14*$C$16/1000000</f>
        <v/>
      </c>
      <c r="F18" s="27">
        <f>F14*$C$16/1000000</f>
        <v/>
      </c>
      <c r="G18" s="27">
        <f>G14*$C$16/1000000</f>
        <v/>
      </c>
    </row>
    <row r="19">
      <c r="B19" s="6" t="inlineStr">
        <is>
          <t xml:space="preserve">  毛蟹原価¥M</t>
        </is>
      </c>
      <c r="C19" s="27">
        <f>C15*$C$17/1000000</f>
        <v/>
      </c>
      <c r="D19" s="27">
        <f>D15*$C$17/1000000</f>
        <v/>
      </c>
      <c r="E19" s="27">
        <f>E15*$C$17/1000000</f>
        <v/>
      </c>
      <c r="F19" s="27">
        <f>F15*$C$17/1000000</f>
        <v/>
      </c>
      <c r="G19" s="27">
        <f>G15*$C$17/1000000</f>
        <v/>
      </c>
    </row>
    <row r="20">
      <c r="B20" s="19" t="inlineStr">
        <is>
          <t>物理カニ原価 計¥M(ボトムアップ)</t>
        </is>
      </c>
      <c r="C20" s="20">
        <f>C18+C19</f>
        <v/>
      </c>
      <c r="D20" s="20">
        <f>D18+D19</f>
        <v/>
      </c>
      <c r="E20" s="20">
        <f>E18+E19</f>
        <v/>
      </c>
      <c r="F20" s="20">
        <f>F18+F19</f>
        <v/>
      </c>
      <c r="G20" s="20">
        <f>G18+G19</f>
        <v/>
      </c>
    </row>
    <row r="22">
      <c r="B22" s="15" t="inlineStr">
        <is>
          <t>歩留・実効可食単価(投資家説明用)</t>
        </is>
      </c>
      <c r="C22" s="16" t="n"/>
      <c r="D22" s="16" t="n"/>
      <c r="E22" s="16" t="n"/>
      <c r="F22" s="16" t="n"/>
      <c r="G22" s="16" t="n"/>
    </row>
    <row r="23">
      <c r="B23" s="6" t="inlineStr">
        <is>
          <t>タラバ歩留(加熱後可食・青)</t>
        </is>
      </c>
      <c r="C23" s="23" t="n">
        <v>0.4</v>
      </c>
    </row>
    <row r="24">
      <c r="B24" s="6" t="inlineStr">
        <is>
          <t>毛蟹歩留(加熱後可食・青)</t>
        </is>
      </c>
      <c r="C24" s="23" t="n">
        <v>0.38</v>
      </c>
    </row>
    <row r="25">
      <c r="B25" s="6" t="inlineStr">
        <is>
          <t>実効可食 タラバ¥/kg(=仕入÷歩留)</t>
        </is>
      </c>
      <c r="C25" s="55">
        <f>$C$16/$C$23</f>
        <v/>
      </c>
      <c r="D25" s="55">
        <f>$C$16/$C$23</f>
        <v/>
      </c>
      <c r="E25" s="55">
        <f>$C$16/$C$23</f>
        <v/>
      </c>
      <c r="F25" s="55">
        <f>$C$16/$C$23</f>
        <v/>
      </c>
      <c r="G25" s="55">
        <f>$C$16/$C$23</f>
        <v/>
      </c>
    </row>
    <row r="26">
      <c r="B26" s="6" t="inlineStr">
        <is>
          <t>実効可食 毛蟹¥/kg(=仕入÷歩留)</t>
        </is>
      </c>
      <c r="C26" s="55">
        <f>$C$17/$C$24</f>
        <v/>
      </c>
      <c r="D26" s="55">
        <f>$C$17/$C$24</f>
        <v/>
      </c>
      <c r="E26" s="55">
        <f>$C$17/$C$24</f>
        <v/>
      </c>
      <c r="F26" s="55">
        <f>$C$17/$C$24</f>
        <v/>
      </c>
      <c r="G26" s="55">
        <f>$C$17/$C$24</f>
        <v/>
      </c>
    </row>
    <row r="28">
      <c r="B28" s="15" t="inlineStr">
        <is>
          <t>ratio版との照合(食材原価×0.60=P&amp;L計上ベース)</t>
        </is>
      </c>
      <c r="C28" s="16" t="n"/>
      <c r="D28" s="16" t="n"/>
      <c r="E28" s="16" t="n"/>
      <c r="F28" s="16" t="n"/>
      <c r="G28" s="16" t="n"/>
    </row>
    <row r="29">
      <c r="B29" s="21" t="inlineStr">
        <is>
          <t>ratio版カニ原価¥M(食材原価×0.60)</t>
        </is>
      </c>
      <c r="C29" s="22" t="n">
        <v>79.40000000000001</v>
      </c>
      <c r="D29" s="22" t="n">
        <v>95.7</v>
      </c>
      <c r="E29" s="22" t="n">
        <v>106</v>
      </c>
      <c r="F29" s="22" t="n">
        <v>110.4</v>
      </c>
      <c r="G29" s="22" t="n">
        <v>114.1</v>
      </c>
    </row>
    <row r="30">
      <c r="B30" s="28" t="inlineStr">
        <is>
          <t>差異(物理 − ratio)</t>
        </is>
      </c>
      <c r="C30" s="27">
        <f>C20-C29</f>
        <v/>
      </c>
      <c r="D30" s="27">
        <f>D20-D29</f>
        <v/>
      </c>
      <c r="E30" s="27">
        <f>E20-E29</f>
        <v/>
      </c>
      <c r="F30" s="27">
        <f>F20-F29</f>
        <v/>
      </c>
      <c r="G30" s="27">
        <f>G20-G29</f>
        <v/>
      </c>
    </row>
    <row r="31">
      <c r="B31" s="8" t="inlineStr">
        <is>
          <t>※ 二層提示: 物理ボトムアップ=調達計画(数量・産地分散の生命線/活供給は細い)、ratio版(食材原価×0.60=SSOT foodCostSplit.crab)=P&amp;L計上。差異は歩留・サイズアップ・生バー用ボイル量・冬の調達逼迫を吸収。両者は同一オーダーで整合(物理が高い年は実効可食コストが¥/kgで割高=産地分散と歩留改善の打ち手対象)。</t>
        </is>
      </c>
    </row>
    <row r="33">
      <c r="B33" s="15" t="inlineStr">
        <is>
          <t>季節性 月次調達配分(第3期・殻付活kg)</t>
        </is>
      </c>
      <c r="C33" s="16" t="n"/>
      <c r="D33" s="16" t="n"/>
      <c r="E33" s="16" t="n"/>
      <c r="F33" s="16" t="n"/>
      <c r="G33" s="16" t="n"/>
    </row>
    <row r="34">
      <c r="B34" s="14" t="inlineStr">
        <is>
          <t>科目</t>
        </is>
      </c>
      <c r="C34" s="14" t="inlineStr">
        <is>
          <t>1月</t>
        </is>
      </c>
      <c r="D34" s="14" t="inlineStr">
        <is>
          <t>2月</t>
        </is>
      </c>
      <c r="E34" s="14" t="inlineStr">
        <is>
          <t>3月</t>
        </is>
      </c>
      <c r="F34" s="14" t="inlineStr">
        <is>
          <t>4月</t>
        </is>
      </c>
      <c r="G34" s="14" t="inlineStr">
        <is>
          <t>5月</t>
        </is>
      </c>
      <c r="H34" s="14" t="inlineStr">
        <is>
          <t>6月</t>
        </is>
      </c>
      <c r="I34" s="14" t="inlineStr">
        <is>
          <t>7月</t>
        </is>
      </c>
      <c r="J34" s="14" t="inlineStr">
        <is>
          <t>8月</t>
        </is>
      </c>
      <c r="K34" s="14" t="inlineStr">
        <is>
          <t>9月</t>
        </is>
      </c>
      <c r="L34" s="14" t="inlineStr">
        <is>
          <t>10月</t>
        </is>
      </c>
      <c r="M34" s="14" t="inlineStr">
        <is>
          <t>11月</t>
        </is>
      </c>
      <c r="N34" s="14" t="inlineStr">
        <is>
          <t>12月</t>
        </is>
      </c>
    </row>
    <row r="35">
      <c r="B35" s="11" t="inlineStr">
        <is>
          <t>殻付活kg(第3期×季節性)</t>
        </is>
      </c>
      <c r="C35" s="45">
        <f>$E$12*1.16/12.00</f>
        <v/>
      </c>
      <c r="D35" s="45">
        <f>$E$12*1.07/12.00</f>
        <v/>
      </c>
      <c r="E35" s="45">
        <f>$E$12*1.04/12.00</f>
        <v/>
      </c>
      <c r="F35" s="45">
        <f>$E$12*0.97/12.00</f>
        <v/>
      </c>
      <c r="G35" s="45">
        <f>$E$12*0.9/12.00</f>
        <v/>
      </c>
      <c r="H35" s="45">
        <f>$E$12*0.83/12.00</f>
        <v/>
      </c>
      <c r="I35" s="45">
        <f>$E$12*0.76/12.00</f>
        <v/>
      </c>
      <c r="J35" s="45">
        <f>$E$12*0.74/12.00</f>
        <v/>
      </c>
      <c r="K35" s="45">
        <f>$E$12*0.87/12.00</f>
        <v/>
      </c>
      <c r="L35" s="45">
        <f>$E$12*1.0/12.00</f>
        <v/>
      </c>
      <c r="M35" s="45">
        <f>$E$12*1.25/12.00</f>
        <v/>
      </c>
      <c r="N35" s="45">
        <f>$E$12*1.41/12.00</f>
        <v/>
      </c>
    </row>
    <row r="36">
      <c r="B36" s="8" t="inlineStr">
        <is>
          <t>※ 第3期(稼働70%基準)の殻付活総重量を季節性指数で12分割。11-2月の冬peak(指数1.07-1.41)で調達が逼迫=この実数の活(live)安定確保が事業の生命線。年末は1.5-2倍スパイク。</t>
        </is>
      </c>
    </row>
  </sheetData>
  <mergeCells count="4">
    <mergeCell ref="B36:G36"/>
    <mergeCell ref="B2:G2"/>
    <mergeCell ref="B31:G31"/>
    <mergeCell ref="B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1:G23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B1" s="1" t="inlineStr">
        <is>
          <t>運転資本スケジュール(NWC)</t>
        </is>
      </c>
      <c r="C1" s="2" t="n"/>
      <c r="D1" s="2" t="n"/>
      <c r="E1" s="2" t="n"/>
      <c r="F1" s="2" t="n"/>
      <c r="G1" s="2" t="n"/>
    </row>
    <row r="2">
      <c r="B2" s="3" t="inlineStr">
        <is>
          <t>売掛(AR)/買掛(AP)/生鮮在庫/ワイン在庫/正味運転資本(NWC)/ΔNWC。下請法DPO≤60チェック付／青=入力・黒=式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回転日数 前提(青=入力)</t>
        </is>
      </c>
      <c r="C5" s="16" t="n"/>
      <c r="D5" s="16" t="n"/>
      <c r="E5" s="16" t="n"/>
      <c r="F5" s="16" t="n"/>
      <c r="G5" s="16" t="n"/>
    </row>
    <row r="6">
      <c r="B6" s="6" t="inlineStr">
        <is>
          <t>カード/法人請求 比率(cardShare)</t>
        </is>
      </c>
      <c r="C6" s="23" t="n">
        <v>0.65</v>
      </c>
    </row>
    <row r="7">
      <c r="B7" s="6" t="inlineStr">
        <is>
          <t>売掛 回収日数(DSO)</t>
        </is>
      </c>
      <c r="C7" s="50" t="n">
        <v>22</v>
      </c>
    </row>
    <row r="8">
      <c r="B8" s="6" t="inlineStr">
        <is>
          <t>買掛 支払日数(DPO・ブレンド)</t>
        </is>
      </c>
      <c r="C8" s="50" t="n">
        <v>34</v>
      </c>
    </row>
    <row r="9">
      <c r="B9" s="6" t="inlineStr">
        <is>
          <t>生鮮在庫 回転日数(DIO・活カニ日次)</t>
        </is>
      </c>
      <c r="C9" s="50" t="n">
        <v>3</v>
      </c>
    </row>
    <row r="10">
      <c r="B10" s="6" t="inlineStr">
        <is>
          <t>ワイン在庫 日数(年2回転)</t>
        </is>
      </c>
      <c r="C10" s="50" t="n">
        <v>180</v>
      </c>
    </row>
    <row r="12">
      <c r="B12" s="15" t="inlineStr">
        <is>
          <t>運転資本 各期末残高(¥M)</t>
        </is>
      </c>
      <c r="C12" s="16" t="n"/>
      <c r="D12" s="16" t="n"/>
      <c r="E12" s="16" t="n"/>
      <c r="F12" s="16" t="n"/>
      <c r="G12" s="16" t="n"/>
    </row>
    <row r="13">
      <c r="B13" s="6" t="inlineStr">
        <is>
          <t>売掛金 AR(=売上×カード比×DSO/365)</t>
        </is>
      </c>
      <c r="C13" s="27">
        <f>損益計算書!C12*$C$6*$C$7/365</f>
        <v/>
      </c>
      <c r="D13" s="27">
        <f>損益計算書!D12*$C$6*$C$7/365</f>
        <v/>
      </c>
      <c r="E13" s="27">
        <f>損益計算書!E12*$C$6*$C$7/365</f>
        <v/>
      </c>
      <c r="F13" s="27">
        <f>損益計算書!F12*$C$6*$C$7/365</f>
        <v/>
      </c>
      <c r="G13" s="27">
        <f>損益計算書!G12*$C$6*$C$7/365</f>
        <v/>
      </c>
    </row>
    <row r="14">
      <c r="B14" s="6" t="inlineStr">
        <is>
          <t>生鮮在庫(=売上原価×DIO/365)</t>
        </is>
      </c>
      <c r="C14" s="27">
        <f>-損益計算書!C13*$C$9/365</f>
        <v/>
      </c>
      <c r="D14" s="27">
        <f>-損益計算書!D13*$C$9/365</f>
        <v/>
      </c>
      <c r="E14" s="27">
        <f>-損益計算書!E13*$C$9/365</f>
        <v/>
      </c>
      <c r="F14" s="27">
        <f>-損益計算書!F13*$C$9/365</f>
        <v/>
      </c>
      <c r="G14" s="27">
        <f>-損益計算書!G13*$C$9/365</f>
        <v/>
      </c>
    </row>
    <row r="15">
      <c r="B15" s="6" t="inlineStr">
        <is>
          <t>ワイン在庫(別建て=飲料原価×日数/365)</t>
        </is>
      </c>
      <c r="C15" s="27">
        <f>'前提条件'!C7*0.3*0.7*$C$10/365</f>
        <v/>
      </c>
      <c r="D15" s="27">
        <f>'前提条件'!D7*0.3*0.7*$C$10/365</f>
        <v/>
      </c>
      <c r="E15" s="27">
        <f>'前提条件'!E7*0.3*0.7*$C$10/365</f>
        <v/>
      </c>
      <c r="F15" s="27">
        <f>'前提条件'!F7*0.3*0.7*$C$10/365</f>
        <v/>
      </c>
      <c r="G15" s="27">
        <f>'前提条件'!G7*0.3*0.7*$C$10/365</f>
        <v/>
      </c>
    </row>
    <row r="16">
      <c r="B16" s="6" t="inlineStr">
        <is>
          <t>買掛金 AP(=売上原価×DPO/365)</t>
        </is>
      </c>
      <c r="C16" s="27">
        <f>-損益計算書!C13*$C$8/365</f>
        <v/>
      </c>
      <c r="D16" s="27">
        <f>-損益計算書!D13*$C$8/365</f>
        <v/>
      </c>
      <c r="E16" s="27">
        <f>-損益計算書!E13*$C$8/365</f>
        <v/>
      </c>
      <c r="F16" s="27">
        <f>-損益計算書!F13*$C$8/365</f>
        <v/>
      </c>
      <c r="G16" s="27">
        <f>-損益計算書!G13*$C$8/365</f>
        <v/>
      </c>
    </row>
    <row r="17">
      <c r="B17" s="19" t="inlineStr">
        <is>
          <t>正味運転資本 NWC(=AR+生鮮在庫+ワイン在庫−AP)</t>
        </is>
      </c>
      <c r="C17" s="20">
        <f>C13+C14+C15-C16</f>
        <v/>
      </c>
      <c r="D17" s="20">
        <f>D13+D14+D15-D16</f>
        <v/>
      </c>
      <c r="E17" s="20">
        <f>E13+E14+E15-E16</f>
        <v/>
      </c>
      <c r="F17" s="20">
        <f>F13+F14+F15-F16</f>
        <v/>
      </c>
      <c r="G17" s="20">
        <f>G13+G14+G15-G16</f>
        <v/>
      </c>
    </row>
    <row r="18">
      <c r="B18" s="25" t="inlineStr">
        <is>
          <t xml:space="preserve">  NWC 対売上比</t>
        </is>
      </c>
      <c r="C18" s="26">
        <f>C17/損益計算書!C12</f>
        <v/>
      </c>
      <c r="D18" s="26">
        <f>D17/損益計算書!D12</f>
        <v/>
      </c>
      <c r="E18" s="26">
        <f>E17/損益計算書!E12</f>
        <v/>
      </c>
      <c r="F18" s="26">
        <f>F17/損益計算書!F12</f>
        <v/>
      </c>
      <c r="G18" s="26">
        <f>G17/損益計算書!G12</f>
        <v/>
      </c>
    </row>
    <row r="19">
      <c r="B19" s="28" t="inlineStr">
        <is>
          <t>ΔNWC(増加=CF流出・CF間接法へ)</t>
        </is>
      </c>
      <c r="C19" s="27">
        <f>C17</f>
        <v/>
      </c>
      <c r="D19" s="27">
        <f>D17-C17</f>
        <v/>
      </c>
      <c r="E19" s="27">
        <f>E17-D17</f>
        <v/>
      </c>
      <c r="F19" s="27">
        <f>F17-E17</f>
        <v/>
      </c>
      <c r="G19" s="27">
        <f>G17-F17</f>
        <v/>
      </c>
    </row>
    <row r="21">
      <c r="B21" s="28" t="inlineStr">
        <is>
          <t>下請法チェック: 買掛支払日数 DPO ≤ 60日</t>
        </is>
      </c>
      <c r="C21" s="63">
        <f>IF($C$8&lt;=60,"OK("&amp;$C$8&amp;"日)","NG")</f>
        <v/>
      </c>
    </row>
    <row r="23">
      <c r="B23" s="8" t="inlineStr">
        <is>
          <t>※ 高客単店は現金/法人請求(AR)寄り・活カニはDIO3日で買掛が薄い。ワイン在庫(年2回転=180日・飲料原価ベースで売上連動・各期¥15〜21M)もNWC構成要素に算入=ΔNWC/DCF FCFFに反映。NWC対売上 約+4%。ΔNWCは『CF・借入返済』営業CFに連動(運転資本の増加=現金流出)。下請法=支払サイト60日以内を遵守(食材30日/酒類45日のブレンド34日)。</t>
        </is>
      </c>
    </row>
  </sheetData>
  <mergeCells count="3">
    <mergeCell ref="B2:G2"/>
    <mergeCell ref="B23:G23"/>
    <mergeCell ref="B1:G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1:G2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B1" s="1" t="inlineStr">
        <is>
          <t>税スケジュール(法人税等の段差明示)</t>
        </is>
      </c>
      <c r="C1" s="2" t="n"/>
      <c r="D1" s="2" t="n"/>
      <c r="E1" s="2" t="n"/>
      <c r="F1" s="2" t="n"/>
      <c r="G1" s="2" t="n"/>
    </row>
    <row r="2">
      <c r="B2" s="3" t="inlineStr">
        <is>
          <t>軽減税率(課税所得¥800万以下15%・超35.43%)+均等割+繰越欠損金充当+防衛特別法人税(基礎控除¥5M)+実効税率／青=入力・黒=式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税率 前提(青=入力)</t>
        </is>
      </c>
      <c r="C5" s="16" t="n"/>
      <c r="D5" s="16" t="n"/>
      <c r="E5" s="16" t="n"/>
      <c r="F5" s="16" t="n"/>
      <c r="G5" s="16" t="n"/>
    </row>
    <row r="6">
      <c r="B6" s="6" t="inlineStr">
        <is>
          <t>軽減税率(課税所得¥800万以下)</t>
        </is>
      </c>
      <c r="C6" s="23" t="n">
        <v>0.15</v>
      </c>
    </row>
    <row r="7">
      <c r="B7" s="6" t="inlineStr">
        <is>
          <t>標準実効税率(¥800万超・東京中小)</t>
        </is>
      </c>
      <c r="C7" s="64" t="n">
        <v>0.3543</v>
      </c>
    </row>
    <row r="8">
      <c r="B8" s="6" t="inlineStr">
        <is>
          <t>軽減税率 適用所得 上限(¥M)</t>
        </is>
      </c>
      <c r="C8" s="18" t="n">
        <v>8</v>
      </c>
    </row>
    <row r="9">
      <c r="B9" s="6" t="inlineStr">
        <is>
          <t>均等割(中小・年¥M)</t>
        </is>
      </c>
      <c r="C9" s="18" t="n">
        <v>0.2</v>
      </c>
    </row>
    <row r="10">
      <c r="B10" s="6" t="inlineStr">
        <is>
          <t>防衛特別法人税 率(法人税額に対し)</t>
        </is>
      </c>
      <c r="C10" s="23" t="n">
        <v>0.04</v>
      </c>
    </row>
    <row r="11">
      <c r="B11" s="6" t="inlineStr">
        <is>
          <t>防衛特別法人税 基礎控除(¥M)</t>
        </is>
      </c>
      <c r="C11" s="18" t="n">
        <v>5</v>
      </c>
    </row>
    <row r="13">
      <c r="B13" s="15" t="inlineStr">
        <is>
          <t>課税所得・税額の計算</t>
        </is>
      </c>
      <c r="C13" s="16" t="n"/>
      <c r="D13" s="16" t="n"/>
      <c r="E13" s="16" t="n"/>
      <c r="F13" s="16" t="n"/>
      <c r="G13" s="16" t="n"/>
    </row>
    <row r="14">
      <c r="B14" s="21" t="inlineStr">
        <is>
          <t>税引前利益(=EBIT)</t>
        </is>
      </c>
      <c r="C14" s="22">
        <f>損益計算書!C24</f>
        <v/>
      </c>
      <c r="D14" s="22">
        <f>損益計算書!D24</f>
        <v/>
      </c>
      <c r="E14" s="22">
        <f>損益計算書!E24</f>
        <v/>
      </c>
      <c r="F14" s="22">
        <f>損益計算書!F24</f>
        <v/>
      </c>
      <c r="G14" s="22">
        <f>損益計算書!G24</f>
        <v/>
      </c>
    </row>
    <row r="15">
      <c r="B15" s="25" t="inlineStr">
        <is>
          <t>繰越欠損金 期首</t>
        </is>
      </c>
      <c r="C15" s="27">
        <f>'前提条件'!C24</f>
        <v/>
      </c>
      <c r="D15" s="27">
        <f>C17</f>
        <v/>
      </c>
      <c r="E15" s="27">
        <f>D17</f>
        <v/>
      </c>
      <c r="F15" s="27">
        <f>E17</f>
        <v/>
      </c>
      <c r="G15" s="27">
        <f>F17</f>
        <v/>
      </c>
    </row>
    <row r="16">
      <c r="B16" s="25" t="inlineStr">
        <is>
          <t xml:space="preserve">  欠損金 充当(中小100%控除)</t>
        </is>
      </c>
      <c r="C16" s="27">
        <f>MIN(C14,C15)</f>
        <v/>
      </c>
      <c r="D16" s="27">
        <f>MIN(D14,D15)</f>
        <v/>
      </c>
      <c r="E16" s="27">
        <f>MIN(E14,E15)</f>
        <v/>
      </c>
      <c r="F16" s="27">
        <f>MIN(F14,F15)</f>
        <v/>
      </c>
      <c r="G16" s="27">
        <f>MIN(G14,G15)</f>
        <v/>
      </c>
    </row>
    <row r="17">
      <c r="B17" s="25" t="inlineStr">
        <is>
          <t>繰越欠損金 期末</t>
        </is>
      </c>
      <c r="C17" s="27">
        <f>C15-C16</f>
        <v/>
      </c>
      <c r="D17" s="27">
        <f>D15-D16</f>
        <v/>
      </c>
      <c r="E17" s="27">
        <f>E15-E16</f>
        <v/>
      </c>
      <c r="F17" s="27">
        <f>F15-F16</f>
        <v/>
      </c>
      <c r="G17" s="27">
        <f>G15-G16</f>
        <v/>
      </c>
    </row>
    <row r="18">
      <c r="B18" s="19" t="inlineStr">
        <is>
          <t>課税所得(=税引前−欠損金充当)</t>
        </is>
      </c>
      <c r="C18" s="20">
        <f>MAX(0,C14-C16)</f>
        <v/>
      </c>
      <c r="D18" s="20">
        <f>MAX(0,D14-D16)</f>
        <v/>
      </c>
      <c r="E18" s="20">
        <f>MAX(0,E14-E16)</f>
        <v/>
      </c>
      <c r="F18" s="20">
        <f>MAX(0,F14-F16)</f>
        <v/>
      </c>
      <c r="G18" s="20">
        <f>MAX(0,G14-G16)</f>
        <v/>
      </c>
    </row>
    <row r="19">
      <c r="B19" s="6" t="inlineStr">
        <is>
          <t xml:space="preserve">  軽減税率部分(¥800万以下×15%)</t>
        </is>
      </c>
      <c r="C19" s="27">
        <f>MIN(C18,$C$8)*$C$6</f>
        <v/>
      </c>
      <c r="D19" s="27">
        <f>MIN(D18,$C$8)*$C$6</f>
        <v/>
      </c>
      <c r="E19" s="27">
        <f>MIN(E18,$C$8)*$C$6</f>
        <v/>
      </c>
      <c r="F19" s="27">
        <f>MIN(F18,$C$8)*$C$6</f>
        <v/>
      </c>
      <c r="G19" s="27">
        <f>MIN(G18,$C$8)*$C$6</f>
        <v/>
      </c>
    </row>
    <row r="20">
      <c r="B20" s="6" t="inlineStr">
        <is>
          <t xml:space="preserve">  標準税率部分(超過×35.43%)</t>
        </is>
      </c>
      <c r="C20" s="27">
        <f>MAX(0,C18-$C$8)*$C$7</f>
        <v/>
      </c>
      <c r="D20" s="27">
        <f>MAX(0,D18-$C$8)*$C$7</f>
        <v/>
      </c>
      <c r="E20" s="27">
        <f>MAX(0,E18-$C$8)*$C$7</f>
        <v/>
      </c>
      <c r="F20" s="27">
        <f>MAX(0,F18-$C$8)*$C$7</f>
        <v/>
      </c>
      <c r="G20" s="27">
        <f>MAX(0,G18-$C$8)*$C$7</f>
        <v/>
      </c>
    </row>
    <row r="21">
      <c r="B21" s="19" t="inlineStr">
        <is>
          <t>法人税等(本体・段差適用)</t>
        </is>
      </c>
      <c r="C21" s="20">
        <f>C19+C20</f>
        <v/>
      </c>
      <c r="D21" s="20">
        <f>D19+D20</f>
        <v/>
      </c>
      <c r="E21" s="20">
        <f>E19+E20</f>
        <v/>
      </c>
      <c r="F21" s="20">
        <f>F19+F20</f>
        <v/>
      </c>
      <c r="G21" s="20">
        <f>G19+G20</f>
        <v/>
      </c>
    </row>
    <row r="22">
      <c r="B22" s="6" t="inlineStr">
        <is>
          <t>防衛特別法人税(控除¥5M後・概ね0)</t>
        </is>
      </c>
      <c r="C22" s="27">
        <f>MAX(0,C21-$C$11)*$C$10</f>
        <v/>
      </c>
      <c r="D22" s="27">
        <f>MAX(0,D21-$C$11)*$C$10</f>
        <v/>
      </c>
      <c r="E22" s="27">
        <f>MAX(0,E21-$C$11)*$C$10</f>
        <v/>
      </c>
      <c r="F22" s="27">
        <f>MAX(0,F21-$C$11)*$C$10</f>
        <v/>
      </c>
      <c r="G22" s="27">
        <f>MAX(0,G21-$C$11)*$C$10</f>
        <v/>
      </c>
    </row>
    <row r="23">
      <c r="B23" s="6" t="inlineStr">
        <is>
          <t>均等割(所得ゼロでも課税)</t>
        </is>
      </c>
      <c r="C23" s="27">
        <f>$C$9</f>
        <v/>
      </c>
      <c r="D23" s="27">
        <f>$C$9</f>
        <v/>
      </c>
      <c r="E23" s="27">
        <f>$C$9</f>
        <v/>
      </c>
      <c r="F23" s="27">
        <f>$C$9</f>
        <v/>
      </c>
      <c r="G23" s="27">
        <f>$C$9</f>
        <v/>
      </c>
    </row>
    <row r="24">
      <c r="B24" s="19" t="inlineStr">
        <is>
          <t>納税額 合計</t>
        </is>
      </c>
      <c r="C24" s="20">
        <f>C21+C22+C23</f>
        <v/>
      </c>
      <c r="D24" s="20">
        <f>D21+D22+D23</f>
        <v/>
      </c>
      <c r="E24" s="20">
        <f>E21+E22+E23</f>
        <v/>
      </c>
      <c r="F24" s="20">
        <f>F21+F22+F23</f>
        <v/>
      </c>
      <c r="G24" s="20">
        <f>G21+G22+G23</f>
        <v/>
      </c>
    </row>
    <row r="25">
      <c r="B25" s="28" t="inlineStr">
        <is>
          <t>実効税率(納税額÷税引前)</t>
        </is>
      </c>
      <c r="C25" s="26">
        <f>IF(C14&gt;0,C24/C14,0)</f>
        <v/>
      </c>
      <c r="D25" s="26">
        <f>IF(D14&gt;0,D24/D14,0)</f>
        <v/>
      </c>
      <c r="E25" s="26">
        <f>IF(E14&gt;0,E24/E14,0)</f>
        <v/>
      </c>
      <c r="F25" s="26">
        <f>IF(F14&gt;0,F24/F14,0)</f>
        <v/>
      </c>
      <c r="G25" s="26">
        <f>IF(G14&gt;0,G24/G14,0)</f>
        <v/>
      </c>
    </row>
    <row r="26">
      <c r="B26" s="19" t="inlineStr">
        <is>
          <t>税引後 当期純利益</t>
        </is>
      </c>
      <c r="C26" s="20">
        <f>C14-C24</f>
        <v/>
      </c>
      <c r="D26" s="20">
        <f>D14-D24</f>
        <v/>
      </c>
      <c r="E26" s="20">
        <f>E14-E24</f>
        <v/>
      </c>
      <c r="F26" s="20">
        <f>F14-F24</f>
        <v/>
      </c>
      <c r="G26" s="20">
        <f>G14-G24</f>
        <v/>
      </c>
    </row>
    <row r="28">
      <c r="B28" s="8" t="inlineStr">
        <is>
          <t>※ 中小法人(資本金≤¥1億)前提=繰越欠損金100%控除+外形標準課税なし。NOL¥280Mは第1-2期で課税所得をゼロ化・第3期で枯渇→第4-5期は通常課税(実効≈34.6%)。軽減税率(¥800万以下15%)は所得が出る第3期以降に僅かに効く。防衛特別法人税(令和8年4月〜)=法人税額−¥5M控除に4%→中小は基礎控除で概ねゼロ。均等割は赤字でも¥0.2M/年。</t>
        </is>
      </c>
    </row>
    <row r="29">
      <c r="B29" s="8" t="inlineStr">
        <is>
          <t>※ 本シートが当モデルの唯一の税エンジン。『損益計算書』法人税等(損益!C31)はこの『納税額 合計』行を直接参照し、『CF』『貸借対照表』『public/model.csv』『DCF』も同じ段差税額を継承=完全整合。旧フラット34%(別エンジン)は廃止。投資家向け税負担の透明化が目的。</t>
        </is>
      </c>
    </row>
  </sheetData>
  <mergeCells count="4">
    <mergeCell ref="B2:G2"/>
    <mergeCell ref="B29:G29"/>
    <mergeCell ref="B28:G28"/>
    <mergeCell ref="B1:G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1:G3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32" customHeight="1">
      <c r="B1" s="1" t="inlineStr">
        <is>
          <t>DCF バリュエーション(企業価値・株主価値)</t>
        </is>
      </c>
      <c r="C1" s="2" t="n"/>
      <c r="D1" s="2" t="n"/>
      <c r="E1" s="2" t="n"/>
      <c r="F1" s="2" t="n"/>
      <c r="G1" s="2" t="n"/>
    </row>
    <row r="2">
      <c r="B2" s="3" t="inlineStr">
        <is>
          <t>FCFF=EBIT×(1−実効税率)+減価償却−CapEx−ΔNWC／ターミナル=FCFF×(1+g)/(WACC−g)／WACC×g 2-way感応度付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前提(青=入力)</t>
        </is>
      </c>
      <c r="C5" s="16" t="n"/>
      <c r="D5" s="16" t="n"/>
      <c r="E5" s="16" t="n"/>
      <c r="F5" s="16" t="n"/>
      <c r="G5" s="16" t="n"/>
    </row>
    <row r="6">
      <c r="B6" s="6" t="inlineStr">
        <is>
          <t>WACC(加重平均資本コスト)</t>
        </is>
      </c>
      <c r="C6" s="23" t="n">
        <v>0.11</v>
      </c>
    </row>
    <row r="7">
      <c r="B7" s="6" t="inlineStr">
        <is>
          <t>永久成長率 g</t>
        </is>
      </c>
      <c r="C7" s="23" t="n">
        <v>0.01</v>
      </c>
    </row>
    <row r="8">
      <c r="B8" s="6" t="inlineStr">
        <is>
          <t>実効税率(税スケジュール 第5期参照)</t>
        </is>
      </c>
      <c r="C8" s="65">
        <f>税スケジュール!G25</f>
        <v/>
      </c>
    </row>
    <row r="9">
      <c r="B9" s="6" t="inlineStr">
        <is>
          <t>株主持分比率(equityShare)</t>
        </is>
      </c>
      <c r="C9" s="23" t="n">
        <v>0.5</v>
      </c>
    </row>
    <row r="11">
      <c r="B11" s="15" t="inlineStr">
        <is>
          <t>フリーキャッシュフロー(FCFF・¥M)</t>
        </is>
      </c>
      <c r="C11" s="16" t="n"/>
      <c r="D11" s="16" t="n"/>
      <c r="E11" s="16" t="n"/>
      <c r="F11" s="16" t="n"/>
      <c r="G11" s="16" t="n"/>
    </row>
    <row r="12">
      <c r="B12" s="21" t="inlineStr">
        <is>
          <t>EBIT(営業利益)</t>
        </is>
      </c>
      <c r="C12" s="22">
        <f>損益計算書!C24</f>
        <v/>
      </c>
      <c r="D12" s="22">
        <f>損益計算書!D24</f>
        <v/>
      </c>
      <c r="E12" s="22">
        <f>損益計算書!E24</f>
        <v/>
      </c>
      <c r="F12" s="22">
        <f>損益計算書!F24</f>
        <v/>
      </c>
      <c r="G12" s="22">
        <f>損益計算書!G24</f>
        <v/>
      </c>
    </row>
    <row r="13">
      <c r="B13" s="6" t="inlineStr">
        <is>
          <t>NOPAT=EBIT×(1−実効税率)</t>
        </is>
      </c>
      <c r="C13" s="27">
        <f>C12*(1-$C$8)</f>
        <v/>
      </c>
      <c r="D13" s="27">
        <f>D12*(1-$C$8)</f>
        <v/>
      </c>
      <c r="E13" s="27">
        <f>E12*(1-$C$8)</f>
        <v/>
      </c>
      <c r="F13" s="27">
        <f>F12*(1-$C$8)</f>
        <v/>
      </c>
      <c r="G13" s="27">
        <f>G12*(1-$C$8)</f>
        <v/>
      </c>
    </row>
    <row r="14">
      <c r="B14" s="21" t="inlineStr">
        <is>
          <t>+ 減価償却(非現金)</t>
        </is>
      </c>
      <c r="C14" s="22">
        <f>'前提条件'!C20</f>
        <v/>
      </c>
      <c r="D14" s="22">
        <f>'前提条件'!D20</f>
        <v/>
      </c>
      <c r="E14" s="22">
        <f>'前提条件'!E20</f>
        <v/>
      </c>
      <c r="F14" s="22">
        <f>'前提条件'!F20</f>
        <v/>
      </c>
      <c r="G14" s="22">
        <f>'前提条件'!G20</f>
        <v/>
      </c>
    </row>
    <row r="15">
      <c r="B15" s="6" t="inlineStr">
        <is>
          <t>− 設備投資 CapEx(開業時t0計上)</t>
        </is>
      </c>
      <c r="C15" s="27" t="n">
        <v>0</v>
      </c>
      <c r="D15" s="27" t="n">
        <v>0</v>
      </c>
      <c r="E15" s="27" t="n">
        <v>0</v>
      </c>
      <c r="F15" s="27" t="n">
        <v>0</v>
      </c>
      <c r="G15" s="27" t="n">
        <v>0</v>
      </c>
    </row>
    <row r="16">
      <c r="B16" s="21" t="inlineStr">
        <is>
          <t>− ΔNWC(運転資本増加)</t>
        </is>
      </c>
      <c r="C16" s="22">
        <f>-運転資本スケジュール!C19</f>
        <v/>
      </c>
      <c r="D16" s="22">
        <f>-運転資本スケジュール!D19</f>
        <v/>
      </c>
      <c r="E16" s="22">
        <f>-運転資本スケジュール!E19</f>
        <v/>
      </c>
      <c r="F16" s="22">
        <f>-運転資本スケジュール!F19</f>
        <v/>
      </c>
      <c r="G16" s="22">
        <f>-運転資本スケジュール!G19</f>
        <v/>
      </c>
    </row>
    <row r="17">
      <c r="B17" s="19" t="inlineStr">
        <is>
          <t>FCFF(フリーCF・企業)</t>
        </is>
      </c>
      <c r="C17" s="20">
        <f>C13+C14+C15+C16</f>
        <v/>
      </c>
      <c r="D17" s="20">
        <f>D13+D14+D15+D16</f>
        <v/>
      </c>
      <c r="E17" s="20">
        <f>E13+E14+E15+E16</f>
        <v/>
      </c>
      <c r="F17" s="20">
        <f>F13+F14+F15+F16</f>
        <v/>
      </c>
      <c r="G17" s="20">
        <f>G13+G14+G15+G16</f>
        <v/>
      </c>
    </row>
    <row r="18">
      <c r="B18" s="25" t="inlineStr">
        <is>
          <t>割引係数 1/(1+WACC)^t</t>
        </is>
      </c>
      <c r="C18" s="66">
        <f>1/(1+$C$6)^1</f>
        <v/>
      </c>
      <c r="D18" s="66">
        <f>1/(1+$C$6)^2</f>
        <v/>
      </c>
      <c r="E18" s="66">
        <f>1/(1+$C$6)^3</f>
        <v/>
      </c>
      <c r="F18" s="66">
        <f>1/(1+$C$6)^4</f>
        <v/>
      </c>
      <c r="G18" s="66">
        <f>1/(1+$C$6)^5</f>
        <v/>
      </c>
    </row>
    <row r="19">
      <c r="B19" s="6" t="inlineStr">
        <is>
          <t>FCFF 現在価値(PV)</t>
        </is>
      </c>
      <c r="C19" s="27">
        <f>C17*C18</f>
        <v/>
      </c>
      <c r="D19" s="27">
        <f>D17*D18</f>
        <v/>
      </c>
      <c r="E19" s="27">
        <f>E17*E18</f>
        <v/>
      </c>
      <c r="F19" s="27">
        <f>F17*F18</f>
        <v/>
      </c>
      <c r="G19" s="27">
        <f>G17*G18</f>
        <v/>
      </c>
    </row>
    <row r="21">
      <c r="B21" s="15" t="inlineStr">
        <is>
          <t>企業価値・株主価値(¥M)</t>
        </is>
      </c>
      <c r="C21" s="16" t="n"/>
      <c r="D21" s="16" t="n"/>
      <c r="E21" s="16" t="n"/>
      <c r="F21" s="16" t="n"/>
      <c r="G21" s="16" t="n"/>
    </row>
    <row r="22">
      <c r="B22" s="6" t="inlineStr">
        <is>
          <t>予測期間 PV合計(Σ第1-5期)</t>
        </is>
      </c>
      <c r="C22" s="27">
        <f>SUM(C19:G19)</f>
        <v/>
      </c>
    </row>
    <row r="23">
      <c r="B23" s="6" t="inlineStr">
        <is>
          <t>ターミナル価値 TV=FCFF₅×(1+g)/(WACC−g)</t>
        </is>
      </c>
      <c r="C23" s="27">
        <f>G17*(1+$C$7)/($C$6-$C$7)</f>
        <v/>
      </c>
    </row>
    <row r="24">
      <c r="B24" s="6" t="inlineStr">
        <is>
          <t>ターミナル価値 PV(=TV×割引係数₅)</t>
        </is>
      </c>
      <c r="C24" s="27">
        <f>C23*G18</f>
        <v/>
      </c>
    </row>
    <row r="25">
      <c r="B25" s="19" t="inlineStr">
        <is>
          <t>企業価値 EV(=予測PV+ターミナルPV)</t>
        </is>
      </c>
      <c r="C25" s="20">
        <f>C22+C24</f>
        <v/>
      </c>
    </row>
    <row r="26">
      <c r="B26" s="19" t="inlineStr">
        <is>
          <t>各50%持分価値(=EV×50%)</t>
        </is>
      </c>
      <c r="C26" s="67">
        <f>C25*$C$9</f>
        <v/>
      </c>
    </row>
    <row r="28">
      <c r="B28" s="15" t="inlineStr">
        <is>
          <t>感応度: WACC × g → 企業価値 EV(¥M)</t>
        </is>
      </c>
      <c r="C28" s="16" t="n"/>
      <c r="D28" s="16" t="n"/>
      <c r="E28" s="16" t="n"/>
      <c r="F28" s="16" t="n"/>
      <c r="G28" s="16" t="n"/>
    </row>
    <row r="29">
      <c r="B29" s="14" t="inlineStr">
        <is>
          <t>WACC ＼ g</t>
        </is>
      </c>
      <c r="C29" s="68" t="n">
        <v>0.005</v>
      </c>
      <c r="D29" s="68" t="n">
        <v>0.01</v>
      </c>
      <c r="E29" s="68" t="n">
        <v>0.015</v>
      </c>
    </row>
    <row r="30">
      <c r="B30" s="69" t="n">
        <v>0.1</v>
      </c>
      <c r="C30" s="70">
        <f>C17/(1+0.1)^1+D17/(1+0.1)^2+E17/(1+0.1)^3+F17/(1+0.1)^4+G17/(1+0.1)^5+G17*(1+0.005)/(0.1-0.005)/(1+0.1)^5</f>
        <v/>
      </c>
      <c r="D30" s="70">
        <f>C17/(1+0.1)^1+D17/(1+0.1)^2+E17/(1+0.1)^3+F17/(1+0.1)^4+G17/(1+0.1)^5+G17*(1+0.01)/(0.1-0.01)/(1+0.1)^5</f>
        <v/>
      </c>
      <c r="E30" s="70">
        <f>C17/(1+0.1)^1+D17/(1+0.1)^2+E17/(1+0.1)^3+F17/(1+0.1)^4+G17/(1+0.1)^5+G17*(1+0.015)/(0.1-0.015)/(1+0.1)^5</f>
        <v/>
      </c>
    </row>
    <row r="31">
      <c r="B31" s="69" t="n">
        <v>0.11</v>
      </c>
      <c r="C31" s="70">
        <f>C17/(1+0.11)^1+D17/(1+0.11)^2+E17/(1+0.11)^3+F17/(1+0.11)^4+G17/(1+0.11)^5+G17*(1+0.005)/(0.11-0.005)/(1+0.11)^5</f>
        <v/>
      </c>
      <c r="D31" s="70">
        <f>C17/(1+0.11)^1+D17/(1+0.11)^2+E17/(1+0.11)^3+F17/(1+0.11)^4+G17/(1+0.11)^5+G17*(1+0.01)/(0.11-0.01)/(1+0.11)^5</f>
        <v/>
      </c>
      <c r="E31" s="70">
        <f>C17/(1+0.11)^1+D17/(1+0.11)^2+E17/(1+0.11)^3+F17/(1+0.11)^4+G17/(1+0.11)^5+G17*(1+0.015)/(0.11-0.015)/(1+0.11)^5</f>
        <v/>
      </c>
    </row>
    <row r="32">
      <c r="B32" s="69" t="n">
        <v>0.12</v>
      </c>
      <c r="C32" s="70">
        <f>C17/(1+0.12)^1+D17/(1+0.12)^2+E17/(1+0.12)^3+F17/(1+0.12)^4+G17/(1+0.12)^5+G17*(1+0.005)/(0.12-0.005)/(1+0.12)^5</f>
        <v/>
      </c>
      <c r="D32" s="70">
        <f>C17/(1+0.12)^1+D17/(1+0.12)^2+E17/(1+0.12)^3+F17/(1+0.12)^4+G17/(1+0.12)^5+G17*(1+0.01)/(0.12-0.01)/(1+0.12)^5</f>
        <v/>
      </c>
      <c r="E32" s="70">
        <f>C17/(1+0.12)^1+D17/(1+0.12)^2+E17/(1+0.12)^3+F17/(1+0.12)^4+G17/(1+0.12)^5+G17*(1+0.015)/(0.12-0.015)/(1+0.12)^5</f>
        <v/>
      </c>
    </row>
    <row r="34">
      <c r="B34" s="8" t="inlineStr">
        <is>
          <t>※ FCFF=NOPAT(EBIT×(1−実効税率))+減価償却−CapEx−ΔNWC。CapExは開業時build-out¥250Mをt0計上(予測期間は維持更新のみ≒償却内)ゆえ第1-5期は0。ターミナル=ゴードン成長(g=1.0%・国内成熟外食)。各社の持分価値=東京単店EV×50%(海外ロイヤルティ・多店舗展開は別途アップサイド)。</t>
        </is>
      </c>
    </row>
    <row r="35">
      <c r="B35" s="8" t="inlineStr">
        <is>
          <t>※ WACC10-12%=非上場・単店飲食のリスク調整後資本コスト。g0.5-1.5%感応度。本DCFは東京旗艦単店の保守評価(NOL税シールド・深夜ラウンジ増分・whale上振れ・海外8%ロイヤルティ¥359M/年は未算入=アップサイド)。</t>
        </is>
      </c>
    </row>
  </sheetData>
  <mergeCells count="4">
    <mergeCell ref="B2:G2"/>
    <mergeCell ref="B34:G34"/>
    <mergeCell ref="B35:G35"/>
    <mergeCell ref="B1:G1"/>
  </mergeCells>
  <conditionalFormatting sqref="C30:E32">
    <cfRule type="colorScale" priority="1">
      <colorScale>
        <cfvo type="min"/>
        <cfvo type="percentile" val="50"/>
        <cfvo type="max"/>
        <color rgb="00FFF6EC"/>
        <color rgb="00DCFCE7"/>
        <color rgb="002F6F4E"/>
      </colorScale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1:D1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42" customWidth="1" min="2" max="2"/>
    <col width="16" customWidth="1" min="3" max="3"/>
    <col width="16" customWidth="1" min="4" max="4"/>
  </cols>
  <sheetData>
    <row r="1" ht="32" customHeight="1">
      <c r="B1" s="1" t="inlineStr">
        <is>
          <t>BookYou 初期回収型マスターオペレーター構造 — 資本構造</t>
        </is>
      </c>
      <c r="C1" s="2" t="n"/>
      <c r="D1" s="2" t="n"/>
    </row>
    <row r="2">
      <c r="B2" s="3" t="inlineStr">
        <is>
          <t>Partner→BookYou ¥280M(=NOL一致)+ Partner→店 直接¥65M ＝ 総融資¥345M／持分 50:50／Initial Recovery 36ヶ月／単位:百万円(¥M／例 600=¥6.0億)</t>
        </is>
      </c>
      <c r="C2" s="2" t="n"/>
      <c r="D2" s="2" t="n"/>
    </row>
    <row r="4">
      <c r="B4" s="13" t="inlineStr">
        <is>
          <t>項目</t>
        </is>
      </c>
      <c r="C4" s="13" t="inlineStr">
        <is>
          <t>値</t>
        </is>
      </c>
      <c r="D4" s="13" t="inlineStr">
        <is>
          <t>根拠・備考</t>
        </is>
      </c>
    </row>
    <row r="5">
      <c r="B5" s="6" t="inlineStr">
        <is>
          <t>Partner → BookYou 融資 元本</t>
        </is>
      </c>
      <c r="C5" s="18" t="n">
        <v>280</v>
      </c>
      <c r="D5" s="25" t="inlineStr">
        <is>
          <t>＝NOL期首¥280Mと一致・有利子(独立企業間金利@1.5%)・36ヶ月完済(報酬から)</t>
        </is>
      </c>
    </row>
    <row r="6">
      <c r="B6" s="6" t="inlineStr">
        <is>
          <t>Partner → 店(OpCo) 直接融資 元本</t>
        </is>
      </c>
      <c r="C6" s="18" t="n">
        <v>65</v>
      </c>
      <c r="D6" s="25" t="inlineStr">
        <is>
          <t>店BSに借入計上・有利子(独立企業間金利@2.0%)・元本返済=損金不算入・36ヶ月均等+スイープ完済</t>
        </is>
      </c>
    </row>
    <row r="7">
      <c r="B7" s="19" t="inlineStr">
        <is>
          <t>総融資 合計(=上記2本)</t>
        </is>
      </c>
      <c r="C7" s="20">
        <f>C5+C6</f>
        <v/>
      </c>
      <c r="D7" s="71" t="inlineStr">
        <is>
          <t>JSON loans.total=¥345M(同一現金の二重使用禁止)</t>
        </is>
      </c>
    </row>
    <row r="9">
      <c r="B9" s="6" t="inlineStr">
        <is>
          <t>持分比率 BookYou</t>
        </is>
      </c>
      <c r="C9" s="72" t="n">
        <v>0.5</v>
      </c>
      <c r="D9" s="25" t="inlineStr">
        <is>
          <t>設立時から50:50・完済前後で不変</t>
        </is>
      </c>
    </row>
    <row r="10">
      <c r="B10" s="6" t="inlineStr">
        <is>
          <t>持分比率 Partner</t>
        </is>
      </c>
      <c r="C10" s="72" t="n">
        <v>0.5</v>
      </c>
      <c r="D10" s="25" t="inlineStr">
        <is>
          <t>設立時から50:50・完済前後で株式比率は不変(変わるのは融資残高と期間限定の契約/運営体制のみ)</t>
        </is>
      </c>
    </row>
    <row r="11">
      <c r="B11" s="6" t="inlineStr">
        <is>
          <t>BookYou 繰越欠損金 期首</t>
        </is>
      </c>
      <c r="C11" s="27" t="n">
        <v>280</v>
      </c>
      <c r="D11" s="25" t="inlineStr">
        <is>
          <t>中小法人100%控除・残9年(36ヶ月計画は期限内)</t>
        </is>
      </c>
    </row>
    <row r="12">
      <c r="B12" s="6" t="inlineStr">
        <is>
          <t>Initial Recovery 期間(ヶ月)</t>
        </is>
      </c>
      <c r="C12" s="73" t="n">
        <v>36</v>
      </c>
      <c r="D12" s="25" t="inlineStr">
        <is>
          <t>BookYou借入残=0 かつ NOL残=0 を同時達成するまで報酬継続→以後 通常50:50</t>
        </is>
      </c>
    </row>
    <row r="13">
      <c r="B13" s="6" t="inlineStr">
        <is>
          <t>Initial Recovery 完了(概算・開業後ヶ月)</t>
        </is>
      </c>
      <c r="C13" s="73" t="n">
        <v>47</v>
      </c>
      <c r="D13" s="25" t="inlineStr">
        <is>
          <t>engine48: NOL残≤0.5 かつ 両融資残≤0.5 の到達月</t>
        </is>
      </c>
    </row>
    <row r="15">
      <c r="B15" s="8" t="inlineStr">
        <is>
          <t>※ 構造名: BookYou Initial Recovery Master Operator Structure(BookYou初期回収型マスターオペレーター構造)。BookYouは店からの『初期包括運営報酬』(逆算)で¥280Mを36ヶ月完済し、その益金を¥280M NOLで相殺。税務結果は保証されない・契約前に専門家確認要。</t>
        </is>
      </c>
    </row>
  </sheetData>
  <mergeCells count="3">
    <mergeCell ref="B15:D15"/>
    <mergeCell ref="B1:D1"/>
    <mergeCell ref="B2:D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B1:U8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</cols>
  <sheetData>
    <row r="1" ht="32" customHeight="1">
      <c r="B1" s="1" t="inlineStr">
        <is>
          <t>Initial Recovery 年次(報酬・NOL・両融資の36ヶ月返済プロファイル)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</row>
    <row r="2">
      <c r="B2" s="3" t="inlineStr">
        <is>
          <t>1行=1営業年度／engine48.py(restructure.results.years)由来・ハードコードなし／単位:百万円(¥M／例 600=¥6.0億)(VATは状態表記)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</row>
    <row r="4">
      <c r="B4" s="14" t="inlineStr">
        <is>
          <t>営業年度</t>
        </is>
      </c>
      <c r="C4" s="14" t="inlineStr">
        <is>
          <t>期</t>
        </is>
      </c>
      <c r="D4" s="14" t="inlineStr">
        <is>
          <t>VAT</t>
        </is>
      </c>
      <c r="E4" s="14" t="inlineStr">
        <is>
          <t>売上</t>
        </is>
      </c>
      <c r="F4" s="14" t="inlineStr">
        <is>
          <t>EBIT</t>
        </is>
      </c>
      <c r="G4" s="14" t="inlineStr">
        <is>
          <t>免税ﾒﾘｯﾄ</t>
        </is>
      </c>
      <c r="H4" s="14" t="inlineStr">
        <is>
          <t>報酬税抜</t>
        </is>
      </c>
      <c r="I4" s="14" t="inlineStr">
        <is>
          <t>報酬VAT</t>
        </is>
      </c>
      <c r="J4" s="14" t="inlineStr">
        <is>
          <t>報酬税込</t>
        </is>
      </c>
      <c r="K4" s="14" t="inlineStr">
        <is>
          <t>NOL使用</t>
        </is>
      </c>
      <c r="L4" s="14" t="inlineStr">
        <is>
          <t>NOL残</t>
        </is>
      </c>
      <c r="M4" s="14" t="inlineStr">
        <is>
          <t>BookYou返済</t>
        </is>
      </c>
      <c r="N4" s="14" t="inlineStr">
        <is>
          <t>BookYou残</t>
        </is>
      </c>
      <c r="O4" s="14" t="inlineStr">
        <is>
          <t>店¥65残</t>
        </is>
      </c>
      <c r="P4" s="14" t="inlineStr">
        <is>
          <t>店利息</t>
        </is>
      </c>
      <c r="Q4" s="14" t="inlineStr">
        <is>
          <t>店法人税</t>
        </is>
      </c>
      <c r="R4" s="14" t="inlineStr">
        <is>
          <t>店税引後</t>
        </is>
      </c>
      <c r="S4" s="14" t="inlineStr">
        <is>
          <t>BookYou税</t>
        </is>
      </c>
      <c r="T4" s="14" t="inlineStr">
        <is>
          <t>店累積現金</t>
        </is>
      </c>
      <c r="U4" s="14" t="inlineStr">
        <is>
          <t>BookYou累積現金</t>
        </is>
      </c>
    </row>
    <row r="5">
      <c r="B5" s="57" t="inlineStr">
        <is>
          <t>第1期</t>
        </is>
      </c>
      <c r="C5" s="74" t="n">
        <v>1</v>
      </c>
      <c r="D5" s="37" t="inlineStr">
        <is>
          <t>免税</t>
        </is>
      </c>
      <c r="E5" s="75" t="n">
        <v>614.8</v>
      </c>
      <c r="F5" s="75" t="n">
        <v>107.1</v>
      </c>
      <c r="G5" s="75" t="n">
        <v>35.4</v>
      </c>
      <c r="H5" s="75" t="n">
        <v>123</v>
      </c>
      <c r="I5" s="75" t="n">
        <v>12.3</v>
      </c>
      <c r="J5" s="75" t="n">
        <v>135.3</v>
      </c>
      <c r="K5" s="75" t="n">
        <v>100.3</v>
      </c>
      <c r="L5" s="75" t="n">
        <v>179.7</v>
      </c>
      <c r="M5" s="75" t="n">
        <v>102.2</v>
      </c>
      <c r="N5" s="75" t="n">
        <v>177.8</v>
      </c>
      <c r="O5" s="75" t="n">
        <v>43.3</v>
      </c>
      <c r="P5" s="75" t="n">
        <v>1.3</v>
      </c>
      <c r="Q5" s="75" t="n">
        <v>0</v>
      </c>
      <c r="R5" s="75" t="n">
        <v>5.9</v>
      </c>
      <c r="S5" s="75" t="n">
        <v>0</v>
      </c>
      <c r="T5" s="75" t="n">
        <v>31.8</v>
      </c>
      <c r="U5" s="75" t="n">
        <v>0</v>
      </c>
    </row>
    <row r="6">
      <c r="B6" s="57" t="inlineStr">
        <is>
          <t>第2期</t>
        </is>
      </c>
      <c r="C6" s="74" t="n">
        <v>2</v>
      </c>
      <c r="D6" s="37" t="inlineStr">
        <is>
          <t>免税</t>
        </is>
      </c>
      <c r="E6" s="75" t="n">
        <v>728.1</v>
      </c>
      <c r="F6" s="75" t="n">
        <v>157.6</v>
      </c>
      <c r="G6" s="75" t="n">
        <v>41.9</v>
      </c>
      <c r="H6" s="75" t="n">
        <v>145.6</v>
      </c>
      <c r="I6" s="75" t="n">
        <v>14.6</v>
      </c>
      <c r="J6" s="75" t="n">
        <v>160.2</v>
      </c>
      <c r="K6" s="75" t="n">
        <v>121.1</v>
      </c>
      <c r="L6" s="75" t="n">
        <v>58.6</v>
      </c>
      <c r="M6" s="75" t="n">
        <v>123.3</v>
      </c>
      <c r="N6" s="75" t="n">
        <v>54.5</v>
      </c>
      <c r="O6" s="75" t="n">
        <v>21.7</v>
      </c>
      <c r="P6" s="75" t="n">
        <v>0.9</v>
      </c>
      <c r="Q6" s="75" t="n">
        <v>0</v>
      </c>
      <c r="R6" s="75" t="n">
        <v>38.5</v>
      </c>
      <c r="S6" s="75" t="n">
        <v>0</v>
      </c>
      <c r="T6" s="75" t="n">
        <v>59</v>
      </c>
      <c r="U6" s="75" t="n">
        <v>0</v>
      </c>
    </row>
    <row r="7">
      <c r="B7" s="57" t="inlineStr">
        <is>
          <t>第3期</t>
        </is>
      </c>
      <c r="C7" s="74" t="n">
        <v>3</v>
      </c>
      <c r="D7" s="37" t="inlineStr">
        <is>
          <t>課税</t>
        </is>
      </c>
      <c r="E7" s="75" t="n">
        <v>799.4</v>
      </c>
      <c r="F7" s="75" t="n">
        <v>198.9</v>
      </c>
      <c r="G7" s="75" t="n">
        <v>0</v>
      </c>
      <c r="H7" s="75" t="n">
        <v>69.90000000000001</v>
      </c>
      <c r="I7" s="75" t="n">
        <v>7</v>
      </c>
      <c r="J7" s="75" t="n">
        <v>76.90000000000001</v>
      </c>
      <c r="K7" s="75" t="n">
        <v>58.6</v>
      </c>
      <c r="L7" s="75" t="n">
        <v>0</v>
      </c>
      <c r="M7" s="75" t="n">
        <v>54.5</v>
      </c>
      <c r="N7" s="75" t="n">
        <v>0</v>
      </c>
      <c r="O7" s="75" t="n">
        <v>-0</v>
      </c>
      <c r="P7" s="75" t="n">
        <v>0.4</v>
      </c>
      <c r="Q7" s="75" t="n">
        <v>44.3</v>
      </c>
      <c r="R7" s="75" t="n">
        <v>84.3</v>
      </c>
      <c r="S7" s="75" t="n">
        <v>0</v>
      </c>
      <c r="T7" s="75" t="n">
        <v>123.6</v>
      </c>
      <c r="U7" s="75" t="n">
        <v>5.1</v>
      </c>
    </row>
    <row r="8">
      <c r="B8" s="8" t="inlineStr">
        <is>
          <t>※ op年1-2=開業後免税想定(仕入税額控除なし)・op年3-=課税。BookYou¥280M完済=True / 店¥65M完済=True / NOL使用¥280.0M(残¥0.0M) / Recovery完了≈M47。法人税と消費税は完全分離・NOLは元本/消費税を消化しない。税務結果は保証されない・契約前に専門家確認要。</t>
        </is>
      </c>
    </row>
  </sheetData>
  <mergeCells count="3">
    <mergeCell ref="B1:U1"/>
    <mergeCell ref="B8:U8"/>
    <mergeCell ref="B2:U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B1:E11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4" customWidth="1" min="2" max="2"/>
    <col width="14" customWidth="1" min="3" max="3"/>
    <col width="14" customWidth="1" min="4" max="4"/>
    <col width="14" customWidth="1" min="5" max="5"/>
  </cols>
  <sheetData>
    <row r="1" ht="32" customHeight="1">
      <c r="B1" s="1" t="inlineStr">
        <is>
          <t>BookYou 繰越欠損金(NOL)スケジュール</t>
        </is>
      </c>
      <c r="C1" s="2" t="n"/>
      <c r="D1" s="2" t="n"/>
      <c r="E1" s="2" t="n"/>
    </row>
    <row r="2">
      <c r="B2" s="3" t="inlineStr">
        <is>
          <t>期首¥280M → 各営業年度の控除前所得から使用 → 期末残。中小法人100%控除／engine48 由来／単位:百万円(¥M／例 600=¥6.0億)</t>
        </is>
      </c>
      <c r="C2" s="2" t="n"/>
      <c r="D2" s="2" t="n"/>
      <c r="E2" s="2" t="n"/>
    </row>
    <row r="4">
      <c r="B4" s="13" t="inlineStr">
        <is>
          <t>営業年度</t>
        </is>
      </c>
      <c r="C4" s="13" t="inlineStr">
        <is>
          <t>NOL期首</t>
        </is>
      </c>
      <c r="D4" s="13" t="inlineStr">
        <is>
          <t>当期使用(byNolUse)</t>
        </is>
      </c>
      <c r="E4" s="13" t="inlineStr">
        <is>
          <t>NOL期末(nolClose)</t>
        </is>
      </c>
    </row>
    <row r="5">
      <c r="B5" s="6" t="inlineStr">
        <is>
          <t>期首残高(opening)</t>
        </is>
      </c>
      <c r="C5" s="18" t="n">
        <v>280</v>
      </c>
      <c r="D5" s="8" t="inlineStr">
        <is>
          <t>＝JSON restructure.nol.opening(¥280M=Partner→BookYou融資元本と一致)</t>
        </is>
      </c>
    </row>
    <row r="6">
      <c r="B6" s="57" t="inlineStr">
        <is>
          <t>第1期</t>
        </is>
      </c>
      <c r="C6" s="75">
        <f>C5</f>
        <v/>
      </c>
      <c r="D6" s="75" t="n">
        <v>100.3</v>
      </c>
      <c r="E6" s="75">
        <f>C6-D6</f>
        <v/>
      </c>
    </row>
    <row r="7">
      <c r="B7" s="57" t="inlineStr">
        <is>
          <t>第2期</t>
        </is>
      </c>
      <c r="C7" s="75">
        <f>E6</f>
        <v/>
      </c>
      <c r="D7" s="75" t="n">
        <v>121.1</v>
      </c>
      <c r="E7" s="75">
        <f>C7-D7</f>
        <v/>
      </c>
    </row>
    <row r="8">
      <c r="B8" s="57" t="inlineStr">
        <is>
          <t>第3期</t>
        </is>
      </c>
      <c r="C8" s="75">
        <f>E7</f>
        <v/>
      </c>
      <c r="D8" s="75" t="n">
        <v>58.6</v>
      </c>
      <c r="E8" s="75">
        <f>C8-D8</f>
        <v/>
      </c>
    </row>
    <row r="9">
      <c r="B9" s="19" t="inlineStr">
        <is>
          <t>使用 合計(=期首−最終期末)</t>
        </is>
      </c>
      <c r="C9" s="20">
        <f>C5-E8</f>
        <v/>
      </c>
      <c r="D9" s="20">
        <f>SUM(D6:D8)</f>
        <v/>
      </c>
      <c r="E9" s="20">
        <f>E8</f>
        <v/>
      </c>
    </row>
    <row r="11">
      <c r="B11" s="8" t="inlineStr">
        <is>
          <t>※ engine48: NOL使用¥280.0M・期末残¥0.0M。控除前所得=受取利息+運営管理収益+ブランド/IP収益−上流借入利息−人件費−外注費 等。元本返済/出向給与実費/消費税はNOLを消化しない。税効果¥96.9M(¥280M×実効)。税務結果は保証されない・契約前に専門家確認要。</t>
        </is>
      </c>
    </row>
  </sheetData>
  <mergeCells count="4">
    <mergeCell ref="D5:E5"/>
    <mergeCell ref="B11:E11"/>
    <mergeCell ref="B1:E1"/>
    <mergeCell ref="B2:E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B1:D2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42" customWidth="1" min="2" max="2"/>
    <col width="16" customWidth="1" min="3" max="3"/>
    <col width="16" customWidth="1" min="4" max="4"/>
  </cols>
  <sheetData>
    <row r="1" ht="32" customHeight="1">
      <c r="B1" s="1" t="inlineStr">
        <is>
          <t>Terminal Value(出口企業価値・確定現金回収・両者帰属)</t>
        </is>
      </c>
      <c r="C1" s="2" t="n"/>
      <c r="D1" s="2" t="n"/>
    </row>
    <row r="2">
      <c r="B2" s="3" t="inlineStr">
        <is>
          <t>出口=完済後 正常化EBITDA×倍率(株式価値・現金でない)。Partner確定現金回収=元本¥345M+利息+食材粗利／engine48 由来／単位:百万円(¥M／例 600=¥6.0億)</t>
        </is>
      </c>
      <c r="C2" s="2" t="n"/>
      <c r="D2" s="2" t="n"/>
    </row>
    <row r="4">
      <c r="B4" s="13" t="inlineStr">
        <is>
          <t>項目</t>
        </is>
      </c>
      <c r="C4" s="13" t="inlineStr">
        <is>
          <t>値(¥M)</t>
        </is>
      </c>
      <c r="D4" s="13" t="inlineStr">
        <is>
          <t>備考</t>
        </is>
      </c>
    </row>
    <row r="5">
      <c r="B5" s="76" t="inlineStr">
        <is>
          <t>— 出口企業価値(株式価値・確定現金ではない) —</t>
        </is>
      </c>
      <c r="C5" s="5" t="n"/>
      <c r="D5" s="5" t="n"/>
    </row>
    <row r="6">
      <c r="B6" s="6" t="inlineStr">
        <is>
          <t>正常化EBITDA(報酬終了後 Y5)</t>
        </is>
      </c>
      <c r="C6" s="27" t="n">
        <v>248.1</v>
      </c>
      <c r="D6" s="25" t="inlineStr">
        <is>
          <t>＝pl.ebit[4]+pl.da[4](回収期の一時的低利益は使用しない)</t>
        </is>
      </c>
    </row>
    <row r="7">
      <c r="B7" s="6" t="inlineStr">
        <is>
          <t>EV倍率(EV/EBITDA)</t>
        </is>
      </c>
      <c r="C7" s="56" t="n">
        <v>8</v>
      </c>
      <c r="D7" s="25" t="inlineStr">
        <is>
          <t>非上場・単店飲食</t>
        </is>
      </c>
    </row>
    <row r="8">
      <c r="B8" s="19" t="inlineStr">
        <is>
          <t>出口企業価値 EV(=EBITDA×倍率)</t>
        </is>
      </c>
      <c r="C8" s="20" t="n">
        <v>1984.8</v>
      </c>
      <c r="D8" s="77" t="inlineStr">
        <is>
          <t>レンジ¥1240.5-2977.2M(5-12x)</t>
        </is>
      </c>
    </row>
    <row r="9">
      <c r="B9" s="6" t="inlineStr">
        <is>
          <t xml:space="preserve">  EV レンジ下限(5x)</t>
        </is>
      </c>
      <c r="C9" s="27" t="n">
        <v>1240.5</v>
      </c>
    </row>
    <row r="10">
      <c r="B10" s="6" t="inlineStr">
        <is>
          <t xml:space="preserve">  EV レンジ上限(12x)</t>
        </is>
      </c>
      <c r="C10" s="27" t="n">
        <v>2977.2</v>
      </c>
    </row>
    <row r="11">
      <c r="B11" s="6" t="inlineStr">
        <is>
          <t>各社 持分価値(EV×50%)</t>
        </is>
      </c>
      <c r="C11" s="27" t="n">
        <v>992.4</v>
      </c>
      <c r="D11" s="25" t="inlineStr">
        <is>
          <t>設立時から50:50・株式価値であり売却成立で初めて実現</t>
        </is>
      </c>
    </row>
    <row r="13">
      <c r="B13" s="76" t="inlineStr">
        <is>
          <t>— Partner 確定現金回収(株式とは別・実額) —</t>
        </is>
      </c>
      <c r="C13" s="5" t="n"/>
      <c r="D13" s="5" t="n"/>
    </row>
    <row r="14">
      <c r="B14" s="19" t="inlineStr">
        <is>
          <t>Partner 確定現金回収 計</t>
        </is>
      </c>
      <c r="C14" s="20" t="n">
        <v>454.3</v>
      </c>
      <c r="D14" s="77" t="inlineStr">
        <is>
          <t>両融資元本¥345M+受取利息+食材供給粗利3年</t>
        </is>
      </c>
    </row>
    <row r="15">
      <c r="B15" s="6" t="inlineStr">
        <is>
          <t xml:space="preserve">  両融資元本 回収(¥280M+¥65M)</t>
        </is>
      </c>
      <c r="C15" s="27" t="n">
        <v>345</v>
      </c>
      <c r="D15" s="25" t="inlineStr">
        <is>
          <t>Partner→BookYou¥280M + Partner→店¥65M</t>
        </is>
      </c>
    </row>
    <row r="16">
      <c r="B16" s="6" t="inlineStr">
        <is>
          <t xml:space="preserve">  Partner 受取利息(両融資・残高ベース)</t>
        </is>
      </c>
      <c r="C16" s="27" t="n">
        <v>10.3</v>
      </c>
      <c r="D16" s="25" t="inlineStr">
        <is>
          <t>¥280M@1.5% + ¥65M@2%(残高平均・3年)</t>
        </is>
      </c>
    </row>
    <row r="17">
      <c r="B17" s="6" t="inlineStr">
        <is>
          <t xml:space="preserve">  Partner 食材供給粗利(3年)</t>
        </is>
      </c>
      <c r="C17" s="27" t="n">
        <v>99</v>
      </c>
      <c r="D17" s="25" t="inlineStr">
        <is>
          <t>Partner 食材供給 税引後粗利/年×3</t>
        </is>
      </c>
    </row>
    <row r="19">
      <c r="B19" s="76" t="inlineStr">
        <is>
          <t>— BookYou 回収・繰越欠損金活用 —</t>
        </is>
      </c>
      <c r="C19" s="5" t="n"/>
      <c r="D19" s="5" t="n"/>
    </row>
    <row r="20">
      <c r="B20" s="6" t="inlineStr">
        <is>
          <t>BookYou 留保現金(回収期末)</t>
        </is>
      </c>
      <c r="C20" s="27" t="n">
        <v>5.1</v>
      </c>
      <c r="D20" s="25" t="inlineStr">
        <is>
          <t>報酬の大半はPartner¥280M返済へ循環</t>
        </is>
      </c>
    </row>
    <row r="21">
      <c r="B21" s="6" t="inlineStr">
        <is>
          <t>BookYou 繰越欠損金 適法活用</t>
        </is>
      </c>
      <c r="C21" s="27" t="n">
        <v>280</v>
      </c>
      <c r="D21" s="25" t="inlineStr">
        <is>
          <t>運営報酬の益金を¥280M NOLで相殺</t>
        </is>
      </c>
    </row>
    <row r="22">
      <c r="B22" s="6" t="inlineStr">
        <is>
          <t xml:space="preserve">  うち 税効果(¥280M×実効税率)</t>
        </is>
      </c>
      <c r="C22" s="27" t="n">
        <v>96.90000000000001</v>
      </c>
      <c r="D22" s="25" t="inlineStr">
        <is>
          <t>BookYou留保現金に内包・別途加算しない</t>
        </is>
      </c>
    </row>
    <row r="24">
      <c r="B24" s="76" t="inlineStr">
        <is>
          <t>— 出口時 各社帰属価値(確定現金回収 + 50%株式) —</t>
        </is>
      </c>
      <c r="C24" s="5" t="n"/>
      <c r="D24" s="5" t="n"/>
    </row>
    <row r="25">
      <c r="B25" s="6" t="inlineStr">
        <is>
          <t>Partner 帰属価値(現金回収+50%株式)</t>
        </is>
      </c>
      <c r="C25" s="27" t="n">
        <v>1446.7</v>
      </c>
      <c r="D25" s="25" t="inlineStr">
        <is>
          <t>確定現金回収+50%株式(株式は非流動)</t>
        </is>
      </c>
    </row>
    <row r="26">
      <c r="B26" s="6" t="inlineStr">
        <is>
          <t>BookYou 帰属価値(留保現金+50%株式)</t>
        </is>
      </c>
      <c r="C26" s="27" t="n">
        <v>997.5</v>
      </c>
      <c r="D26" s="25" t="inlineStr">
        <is>
          <t>留保現金+50%株式(株式は非流動)</t>
        </is>
      </c>
    </row>
    <row r="28">
      <c r="B28" s="8" t="inlineStr">
        <is>
          <t>出口企業価値 ¥1984.8M(正常化EBITDA¥248.1M×8.0x・レンジ¥1240.5-2977.2M)=株式価値。各50%持分¥992.4M。Partner確定現金回収¥454.3M(元本¥345M+利息¥10.3M+食材粗利¥99.0M)。BookYouは繰越欠損金¥280.0Mを適法活用。出口は完済後 正常化EBITDAを使用(回収期の一時的低利益は使用しない)。</t>
        </is>
      </c>
    </row>
    <row r="29">
      <c r="B29" s="8" t="inlineStr">
        <is>
          <t>※ 出口企業価値は完済後 正常化EBITDA×倍率の株式価値=50%持分の売却が成立して初めて実現する確定現金ではない。Partnerの確定現金回収は両融資元本¥345M+利息+食材供給粗利。税務・会計結果は保証されない・契約前に専門家確認要。</t>
        </is>
      </c>
    </row>
  </sheetData>
  <mergeCells count="8">
    <mergeCell ref="B28:D28"/>
    <mergeCell ref="B19:D19"/>
    <mergeCell ref="B5:D5"/>
    <mergeCell ref="B1:D1"/>
    <mergeCell ref="B13:D13"/>
    <mergeCell ref="B29:D29"/>
    <mergeCell ref="B24:D24"/>
    <mergeCell ref="B2:D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B1:C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10" customWidth="1" min="2" max="2"/>
    <col width="78" customWidth="1" min="3" max="3"/>
  </cols>
  <sheetData>
    <row r="1" ht="32" customHeight="1">
      <c r="B1" s="1" t="inlineStr">
        <is>
          <t>Sources — 出典(国税庁タックスアンサー)・免責</t>
        </is>
      </c>
      <c r="C1" s="2" t="n"/>
    </row>
    <row r="2">
      <c r="B2" s="3" t="inlineStr">
        <is>
          <t>本構造の税務取扱いの一次情報(NTA)。下記は参考であり税務結果を保証しない</t>
        </is>
      </c>
      <c r="C2" s="2" t="n"/>
    </row>
    <row r="4">
      <c r="B4" s="13" t="inlineStr">
        <is>
          <t>#</t>
        </is>
      </c>
      <c r="C4" s="13" t="inlineStr">
        <is>
          <t>URL / 注記</t>
        </is>
      </c>
    </row>
    <row r="5">
      <c r="B5" s="37" t="n">
        <v>1</v>
      </c>
      <c r="C5" s="78" t="inlineStr">
        <is>
          <t>https://www.nta.go.jp/taxes/shiraberu/taxanswer/hojin/5762.htm  — 繰越欠損金(青色申告)</t>
        </is>
      </c>
    </row>
    <row r="6">
      <c r="B6" s="37" t="n">
        <v>2</v>
      </c>
      <c r="C6" s="78" t="inlineStr">
        <is>
          <t>https://www.nta.go.jp/taxes/shiraberu/taxanswer/shohi/6153.htm  — 消費税 課税事業者の判定</t>
        </is>
      </c>
    </row>
    <row r="7">
      <c r="B7" s="37" t="n">
        <v>3</v>
      </c>
      <c r="C7" s="78" t="inlineStr">
        <is>
          <t>https://www.nta.go.jp/taxes/shiraberu/taxanswer/shohi/6221.htm  — 納税義務の免除(免税事業者)</t>
        </is>
      </c>
    </row>
    <row r="8">
      <c r="B8" s="37" t="n">
        <v>4</v>
      </c>
      <c r="C8" s="78" t="inlineStr">
        <is>
          <t>https://www.nta.go.jp/taxes/shiraberu/taxanswer/shohi/6501.htm  — 仕入税額控除(課税仕入)</t>
        </is>
      </c>
    </row>
    <row r="10">
      <c r="B10" s="79" t="inlineStr">
        <is>
          <t>※ 税務結果は保証されない・契約前に専門家確認要。</t>
        </is>
      </c>
    </row>
    <row r="11">
      <c r="B11" s="8" t="inlineStr">
        <is>
          <t>※ 本シート群(資本構造／Initial Recovery 年次／BookYou欠損金／Terminal Value／Sources)は lib/model_data.json restructure + restructure.results(engine48.py)を正本とし、エンジン数値をハードコードせず読み込む。既存の運営財務3表(P&amp;L/BS/CF)とは独立(別法的主体間の取引構造)。</t>
        </is>
      </c>
    </row>
  </sheetData>
  <mergeCells count="4">
    <mergeCell ref="B11:C11"/>
    <mergeCell ref="B1:C1"/>
    <mergeCell ref="B2:C2"/>
    <mergeCell ref="B10:C10"/>
  </mergeCells>
  <hyperlinks>
    <hyperlink xmlns:r="http://schemas.openxmlformats.org/officeDocument/2006/relationships" ref="C5" r:id="rId1"/>
    <hyperlink xmlns:r="http://schemas.openxmlformats.org/officeDocument/2006/relationships" ref="C6" r:id="rId2"/>
    <hyperlink xmlns:r="http://schemas.openxmlformats.org/officeDocument/2006/relationships" ref="C7" r:id="rId3"/>
    <hyperlink xmlns:r="http://schemas.openxmlformats.org/officeDocument/2006/relationships" ref="C8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G67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32" customHeight="1">
      <c r="B1" s="1" t="inlineStr">
        <is>
          <t>THE KING'S CATCH — 財務モデル 前提条件</t>
        </is>
      </c>
      <c r="C1" s="2" t="n"/>
      <c r="D1" s="2" t="n"/>
      <c r="E1" s="2" t="n"/>
      <c r="F1" s="2" t="n"/>
      <c r="G1" s="2" t="n"/>
    </row>
    <row r="2">
      <c r="B2" s="3" t="inlineStr">
        <is>
          <t>単位:百万円(¥M／例 600=¥6.0億)(特記なき限り)／青字=入力・黒字=式・緑字=参照／作成:2026-06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売上高 ドライバー</t>
        </is>
      </c>
      <c r="C5" s="16" t="n"/>
      <c r="D5" s="16" t="n"/>
      <c r="E5" s="16" t="n"/>
      <c r="F5" s="16" t="n"/>
      <c r="G5" s="16" t="n"/>
    </row>
    <row r="6">
      <c r="B6" s="17" t="inlineStr">
        <is>
          <t>料理 売上</t>
        </is>
      </c>
      <c r="C6" s="18" t="n">
        <v>358.7</v>
      </c>
      <c r="D6" s="18" t="n">
        <v>418.5</v>
      </c>
      <c r="E6" s="18" t="n">
        <v>459.4</v>
      </c>
      <c r="F6" s="18" t="n">
        <v>474.7</v>
      </c>
      <c r="G6" s="18" t="n">
        <v>486.2</v>
      </c>
    </row>
    <row r="7">
      <c r="B7" s="17" t="inlineStr">
        <is>
          <t>飲料 売上</t>
        </is>
      </c>
      <c r="C7" s="18" t="n">
        <v>146.9</v>
      </c>
      <c r="D7" s="18" t="n">
        <v>172.9</v>
      </c>
      <c r="E7" s="18" t="n">
        <v>188.5</v>
      </c>
      <c r="F7" s="18" t="n">
        <v>195.3</v>
      </c>
      <c r="G7" s="18" t="n">
        <v>200.6</v>
      </c>
    </row>
    <row r="8">
      <c r="B8" s="17" t="inlineStr">
        <is>
          <t>個室料</t>
        </is>
      </c>
      <c r="C8" s="18" t="n">
        <v>10.5</v>
      </c>
      <c r="D8" s="18" t="n">
        <v>13.1</v>
      </c>
      <c r="E8" s="18" t="n">
        <v>14.9</v>
      </c>
      <c r="F8" s="18" t="n">
        <v>16.6</v>
      </c>
      <c r="G8" s="18" t="n">
        <v>17.5</v>
      </c>
    </row>
    <row r="9">
      <c r="B9" s="17" t="inlineStr">
        <is>
          <t>サービス料(10%・原価ゼロ)</t>
        </is>
      </c>
      <c r="C9" s="18" t="n">
        <v>51.6</v>
      </c>
      <c r="D9" s="18" t="n">
        <v>60.5</v>
      </c>
      <c r="E9" s="18" t="n">
        <v>66.3</v>
      </c>
      <c r="F9" s="18" t="n">
        <v>68.7</v>
      </c>
      <c r="G9" s="18" t="n">
        <v>70.40000000000001</v>
      </c>
    </row>
    <row r="10">
      <c r="B10" s="17" t="inlineStr">
        <is>
          <t>バー(待ち/ウォークイン)</t>
        </is>
      </c>
      <c r="C10" s="18" t="n">
        <v>13.3</v>
      </c>
      <c r="D10" s="18" t="n">
        <v>16.3</v>
      </c>
      <c r="E10" s="18" t="n">
        <v>18.3</v>
      </c>
      <c r="F10" s="18" t="n">
        <v>20.1</v>
      </c>
      <c r="G10" s="18" t="n">
        <v>20.7</v>
      </c>
    </row>
    <row r="11">
      <c r="B11" s="17" t="inlineStr">
        <is>
          <t>深夜ラウンジ(23:00–1:30)</t>
        </is>
      </c>
      <c r="C11" s="18" t="n">
        <v>33.8</v>
      </c>
      <c r="D11" s="18" t="n">
        <v>46.8</v>
      </c>
      <c r="E11" s="18" t="n">
        <v>52</v>
      </c>
      <c r="F11" s="18" t="n">
        <v>52</v>
      </c>
      <c r="G11" s="18" t="n">
        <v>52</v>
      </c>
    </row>
    <row r="12">
      <c r="B12" s="19" t="inlineStr">
        <is>
          <t>売上高合計</t>
        </is>
      </c>
      <c r="C12" s="20">
        <f>'前提条件'!C6+'前提条件'!C7+'前提条件'!C8+'前提条件'!C9+'前提条件'!C10+'前提条件'!C11</f>
        <v/>
      </c>
      <c r="D12" s="20">
        <f>'前提条件'!D6+'前提条件'!D7+'前提条件'!D8+'前提条件'!D9+'前提条件'!D10+'前提条件'!D11</f>
        <v/>
      </c>
      <c r="E12" s="20">
        <f>'前提条件'!E6+'前提条件'!E7+'前提条件'!E8+'前提条件'!E9+'前提条件'!E10+'前提条件'!E11</f>
        <v/>
      </c>
      <c r="F12" s="20">
        <f>'前提条件'!F6+'前提条件'!F7+'前提条件'!F8+'前提条件'!F9+'前提条件'!F10+'前提条件'!F11</f>
        <v/>
      </c>
      <c r="G12" s="20">
        <f>'前提条件'!G6+'前提条件'!G7+'前提条件'!G8+'前提条件'!G9+'前提条件'!G10+'前提条件'!G11</f>
        <v/>
      </c>
    </row>
    <row r="14">
      <c r="B14" s="15" t="inlineStr">
        <is>
          <t>原価・費用</t>
        </is>
      </c>
      <c r="C14" s="16" t="n"/>
      <c r="D14" s="16" t="n"/>
      <c r="E14" s="16" t="n"/>
      <c r="F14" s="16" t="n"/>
      <c r="G14" s="16" t="n"/>
    </row>
    <row r="15">
      <c r="B15" s="17" t="inlineStr">
        <is>
          <t>食材原価</t>
        </is>
      </c>
      <c r="C15" s="18" t="n">
        <v>180.5</v>
      </c>
      <c r="D15" s="18" t="n">
        <v>217.9</v>
      </c>
      <c r="E15" s="18" t="n">
        <v>240.6</v>
      </c>
      <c r="F15" s="18" t="n">
        <v>249.7</v>
      </c>
      <c r="G15" s="18" t="n">
        <v>257.3</v>
      </c>
    </row>
    <row r="16">
      <c r="B16" s="17" t="inlineStr">
        <is>
          <t>人件費(人員計画より)</t>
        </is>
      </c>
      <c r="C16" s="18" t="n">
        <v>188</v>
      </c>
      <c r="D16" s="18" t="n">
        <v>198</v>
      </c>
      <c r="E16" s="18" t="n">
        <v>206</v>
      </c>
      <c r="F16" s="18" t="n">
        <v>216</v>
      </c>
      <c r="G16" s="18" t="n">
        <v>225</v>
      </c>
    </row>
    <row r="17">
      <c r="B17" s="17" t="inlineStr">
        <is>
          <t>地代家賃</t>
        </is>
      </c>
      <c r="C17" s="18" t="n">
        <v>39</v>
      </c>
      <c r="D17" s="18" t="n">
        <v>39</v>
      </c>
      <c r="E17" s="18" t="n">
        <v>39</v>
      </c>
      <c r="F17" s="18" t="n">
        <v>39</v>
      </c>
      <c r="G17" s="18" t="n">
        <v>39</v>
      </c>
    </row>
    <row r="18">
      <c r="B18" s="17" t="inlineStr">
        <is>
          <t>その他営業費用</t>
        </is>
      </c>
      <c r="C18" s="18" t="n">
        <v>64</v>
      </c>
      <c r="D18" s="18" t="n">
        <v>79</v>
      </c>
      <c r="E18" s="18" t="n">
        <v>76</v>
      </c>
      <c r="F18" s="18" t="n">
        <v>68</v>
      </c>
      <c r="G18" s="18" t="n">
        <v>64</v>
      </c>
    </row>
    <row r="19">
      <c r="B19" s="17" t="inlineStr">
        <is>
          <t>深夜ラウンジ運営費(DJ・警備・決済)</t>
        </is>
      </c>
      <c r="C19" s="18" t="n">
        <v>11.3</v>
      </c>
      <c r="D19" s="18" t="n">
        <v>11.7</v>
      </c>
      <c r="E19" s="18" t="n">
        <v>14</v>
      </c>
      <c r="F19" s="18" t="n">
        <v>14</v>
      </c>
      <c r="G19" s="18" t="n">
        <v>14</v>
      </c>
    </row>
    <row r="20">
      <c r="B20" s="21" t="inlineStr">
        <is>
          <t>減価償却費(=減価償却スケジュール 年次 life-gate 合計)</t>
        </is>
      </c>
      <c r="C20" s="22">
        <f>ROUND(減価償却スケジュール!J15,1)</f>
        <v/>
      </c>
      <c r="D20" s="22">
        <f>ROUND(減価償却スケジュール!K15,1)</f>
        <v/>
      </c>
      <c r="E20" s="22">
        <f>ROUND(減価償却スケジュール!L15,1)</f>
        <v/>
      </c>
      <c r="F20" s="22">
        <f>ROUND(減価償却スケジュール!M15,1)</f>
        <v/>
      </c>
      <c r="G20" s="22">
        <f>ROUND(減価償却スケジュール!N15,1)</f>
        <v/>
      </c>
    </row>
    <row r="22">
      <c r="B22" s="15" t="inlineStr">
        <is>
          <t>資本・財務</t>
        </is>
      </c>
      <c r="C22" s="16" t="n"/>
      <c r="D22" s="16" t="n"/>
      <c r="E22" s="16" t="n"/>
      <c r="F22" s="16" t="n"/>
      <c r="G22" s="16" t="n"/>
    </row>
    <row r="23">
      <c r="B23" s="6" t="inlineStr">
        <is>
          <t>法人税率(参考・実効税率は税スケジュール)</t>
        </is>
      </c>
      <c r="C23" s="23" t="n">
        <v>0.34</v>
      </c>
    </row>
    <row r="24">
      <c r="B24" s="6" t="inlineStr">
        <is>
          <t>繰越欠損金 期首残高</t>
        </is>
      </c>
      <c r="C24" s="24" t="n">
        <v>280</v>
      </c>
    </row>
    <row r="25">
      <c r="B25" s="6" t="inlineStr">
        <is>
          <t>店BS計上 借入/直接用途</t>
        </is>
      </c>
      <c r="C25" s="24" t="n">
        <v>320</v>
      </c>
    </row>
    <row r="26">
      <c r="B26" s="17" t="inlineStr">
        <is>
          <t>借入 返済額(CF連動)</t>
        </is>
      </c>
      <c r="C26" s="18" t="n">
        <v>73</v>
      </c>
      <c r="D26" s="18" t="n">
        <v>95</v>
      </c>
      <c r="E26" s="18" t="n">
        <v>152</v>
      </c>
      <c r="F26" s="18" t="n">
        <v>0</v>
      </c>
      <c r="G26" s="18" t="n">
        <v>0</v>
      </c>
    </row>
    <row r="27">
      <c r="B27" s="6" t="inlineStr">
        <is>
          <t>設備投資(build-out)</t>
        </is>
      </c>
      <c r="C27" s="24" t="n">
        <v>250</v>
      </c>
    </row>
    <row r="28">
      <c r="B28" s="6" t="inlineStr">
        <is>
          <t>保証金(別枠・返還資産)</t>
        </is>
      </c>
      <c r="C28" s="24" t="n">
        <v>35</v>
      </c>
    </row>
    <row r="30">
      <c r="B30" s="15" t="inlineStr">
        <is>
          <t>ベース会社 BookYou 実態(令和8年2月+後発事象)</t>
        </is>
      </c>
      <c r="C30" s="16" t="n"/>
      <c r="D30" s="16" t="n"/>
      <c r="E30" s="16" t="n"/>
      <c r="F30" s="16" t="n"/>
      <c r="G30" s="16" t="n"/>
    </row>
    <row r="31">
      <c r="B31" s="6" t="inlineStr">
        <is>
          <t>BookYou現金(還付+/地方税-/役員返済- 後)</t>
        </is>
      </c>
      <c r="C31" s="18" t="n">
        <v>3.449</v>
      </c>
    </row>
    <row r="32">
      <c r="B32" s="6" t="inlineStr">
        <is>
          <t>その他既存資産(短期貸付+未収+仮払税+創立費)</t>
        </is>
      </c>
      <c r="C32" s="18" t="n">
        <v>2.863</v>
      </c>
    </row>
    <row r="33">
      <c r="B33" s="6" t="inlineStr">
        <is>
          <t>役員借入金(既存)</t>
        </is>
      </c>
      <c r="C33" s="18" t="n">
        <v>24.278</v>
      </c>
    </row>
    <row r="34">
      <c r="B34" s="6" t="inlineStr">
        <is>
          <t>その他既存負債(短期借+未払+預り+仮受)</t>
        </is>
      </c>
      <c r="C34" s="18" t="n">
        <v>5.772</v>
      </c>
    </row>
    <row r="35">
      <c r="B35" s="6" t="inlineStr">
        <is>
          <t>資本金+資本準備金(減資で中小法人化)</t>
        </is>
      </c>
      <c r="C35" s="18" t="n">
        <v>236.681</v>
      </c>
    </row>
    <row r="36">
      <c r="B36" s="6" t="inlineStr">
        <is>
          <t>繰越利益剰余金(累積赤字)</t>
        </is>
      </c>
      <c r="C36" s="18" t="n">
        <v>-260.419</v>
      </c>
    </row>
    <row r="37">
      <c r="B37" s="6" t="inlineStr">
        <is>
          <t>法人住民税 均等割(中小・年)</t>
        </is>
      </c>
      <c r="C37" s="18" t="n">
        <v>0.2</v>
      </c>
    </row>
    <row r="38">
      <c r="B38" s="19" t="inlineStr">
        <is>
          <t>開業時現金(=BookYou現金+借入−内装−保証金)</t>
        </is>
      </c>
      <c r="C38" s="20">
        <f>C31+C25-C27-C28</f>
        <v/>
      </c>
    </row>
    <row r="40">
      <c r="B40" s="8" t="inlineStr">
        <is>
          <t>※ Partner拠出元本 ¥345M(有利子・独立企業間金利)=店BS計上¥320M(内装¥250M+保証金¥35M+運転¥35M)+店BS外 前払い諸経費¥25M。Partner→BookYou ¥280M(@1.5%)+ Partner→店 直接¥65M(@2%)の二本立て(『資本構造』参照)。開業後36か月で全額回収・CF連動(『月次(全5期)』に月次明細)。</t>
        </is>
      </c>
    </row>
    <row r="41">
      <c r="B41" s="8" t="inlineStr">
        <is>
          <t>※ 繰越欠損金¥280M(BookYou・中小法人100%控除)で課税所得を相殺。第3期で枯渇、第3期から通常課税。</t>
        </is>
      </c>
    </row>
    <row r="42">
      <c r="B42" s="8" t="inlineStr">
        <is>
          <t>※ 運転資本は中立(現金決済・仕入は買掛で相殺)と仮定。減価償却=build-out¥250Mを別表第一/二準拠で資産別償却(初年度¥24.9M・加重平均約10年)。</t>
        </is>
      </c>
    </row>
    <row r="44">
      <c r="B44" s="15" t="inlineStr">
        <is>
          <t>原価・費用 内訳(明細・参考)</t>
        </is>
      </c>
      <c r="C44" s="16" t="n"/>
      <c r="D44" s="16" t="n"/>
      <c r="E44" s="16" t="n"/>
      <c r="F44" s="16" t="n"/>
      <c r="G44" s="16" t="n"/>
    </row>
    <row r="45">
      <c r="B45" s="13" t="inlineStr">
        <is>
          <t>科目</t>
        </is>
      </c>
      <c r="C45" s="14" t="inlineStr">
        <is>
          <t>第1期</t>
        </is>
      </c>
      <c r="D45" s="14" t="inlineStr">
        <is>
          <t>第2期</t>
        </is>
      </c>
      <c r="E45" s="14" t="inlineStr">
        <is>
          <t>第3期</t>
        </is>
      </c>
      <c r="F45" s="14" t="inlineStr">
        <is>
          <t>第4期</t>
        </is>
      </c>
      <c r="G45" s="14" t="inlineStr">
        <is>
          <t>第5期</t>
        </is>
      </c>
    </row>
    <row r="46">
      <c r="B46" s="17" t="inlineStr">
        <is>
          <t xml:space="preserve">  カニ原価(タラバ/毛蟹・60%)</t>
        </is>
      </c>
      <c r="C46" s="18" t="n">
        <v>79.40000000000001</v>
      </c>
      <c r="D46" s="18" t="n">
        <v>95.7</v>
      </c>
      <c r="E46" s="18" t="n">
        <v>106</v>
      </c>
      <c r="F46" s="18" t="n">
        <v>110.4</v>
      </c>
      <c r="G46" s="18" t="n">
        <v>114.1</v>
      </c>
    </row>
    <row r="47">
      <c r="B47" s="17" t="inlineStr">
        <is>
          <t xml:space="preserve">  その他海鮮(うに/いくら/貝・25%)</t>
        </is>
      </c>
      <c r="C47" s="18" t="n">
        <v>33.1</v>
      </c>
      <c r="D47" s="18" t="n">
        <v>39.9</v>
      </c>
      <c r="E47" s="18" t="n">
        <v>44.2</v>
      </c>
      <c r="F47" s="18" t="n">
        <v>46</v>
      </c>
      <c r="G47" s="18" t="n">
        <v>47.5</v>
      </c>
    </row>
    <row r="48">
      <c r="B48" s="17" t="inlineStr">
        <is>
          <t xml:space="preserve">  米・野菜・その他(15%)</t>
        </is>
      </c>
      <c r="C48" s="18" t="n">
        <v>19.9</v>
      </c>
      <c r="D48" s="18" t="n">
        <v>23.9</v>
      </c>
      <c r="E48" s="18" t="n">
        <v>26.5</v>
      </c>
      <c r="F48" s="18" t="n">
        <v>27.6</v>
      </c>
      <c r="G48" s="18" t="n">
        <v>28.5</v>
      </c>
    </row>
    <row r="49">
      <c r="B49" s="17" t="inlineStr">
        <is>
          <t xml:space="preserve">  飲料原価(ディナー・原価率27%)</t>
        </is>
      </c>
      <c r="C49" s="18" t="n">
        <v>39.7</v>
      </c>
      <c r="D49" s="18" t="n">
        <v>46.7</v>
      </c>
      <c r="E49" s="18" t="n">
        <v>50.9</v>
      </c>
      <c r="F49" s="18" t="n">
        <v>52.7</v>
      </c>
      <c r="G49" s="18" t="n">
        <v>54.2</v>
      </c>
    </row>
    <row r="50">
      <c r="B50" s="17" t="inlineStr">
        <is>
          <t xml:space="preserve">  深夜ラウンジ ドリンク原価</t>
        </is>
      </c>
      <c r="C50" s="18" t="n">
        <v>8.4</v>
      </c>
      <c r="D50" s="18" t="n">
        <v>11.7</v>
      </c>
      <c r="E50" s="18" t="n">
        <v>13</v>
      </c>
      <c r="F50" s="18" t="n">
        <v>13</v>
      </c>
      <c r="G50" s="18" t="n">
        <v>13</v>
      </c>
    </row>
    <row r="51">
      <c r="B51" s="19" t="inlineStr">
        <is>
          <t xml:space="preserve">  食材原価 計(=上記)</t>
        </is>
      </c>
      <c r="C51" s="20">
        <f>SUM(C46:C50)</f>
        <v/>
      </c>
      <c r="D51" s="20">
        <f>SUM(D46:D50)</f>
        <v/>
      </c>
      <c r="E51" s="20">
        <f>SUM(E46:E50)</f>
        <v/>
      </c>
      <c r="F51" s="20">
        <f>SUM(F46:F50)</f>
        <v/>
      </c>
      <c r="G51" s="20">
        <f>SUM(G46:G50)</f>
        <v/>
      </c>
    </row>
    <row r="52">
      <c r="B52" s="17" t="inlineStr">
        <is>
          <t xml:space="preserve">  厨房(BOH・41%)</t>
        </is>
      </c>
      <c r="C52" s="18" t="n">
        <v>77.09999999999999</v>
      </c>
      <c r="D52" s="18" t="n">
        <v>81.2</v>
      </c>
      <c r="E52" s="18" t="n">
        <v>84.5</v>
      </c>
      <c r="F52" s="18" t="n">
        <v>88.59999999999999</v>
      </c>
      <c r="G52" s="18" t="n">
        <v>92.2</v>
      </c>
    </row>
    <row r="53">
      <c r="B53" s="17" t="inlineStr">
        <is>
          <t xml:space="preserve">  ホール(FOH・28%)</t>
        </is>
      </c>
      <c r="C53" s="18" t="n">
        <v>52.6</v>
      </c>
      <c r="D53" s="18" t="n">
        <v>55.4</v>
      </c>
      <c r="E53" s="18" t="n">
        <v>57.7</v>
      </c>
      <c r="F53" s="18" t="n">
        <v>60.5</v>
      </c>
      <c r="G53" s="18" t="n">
        <v>63</v>
      </c>
    </row>
    <row r="54">
      <c r="B54" s="17" t="inlineStr">
        <is>
          <t xml:space="preserve">  管理・法定福利・採用(31%)</t>
        </is>
      </c>
      <c r="C54" s="18" t="n">
        <v>58.3</v>
      </c>
      <c r="D54" s="18" t="n">
        <v>61.4</v>
      </c>
      <c r="E54" s="18" t="n">
        <v>63.9</v>
      </c>
      <c r="F54" s="18" t="n">
        <v>67</v>
      </c>
      <c r="G54" s="18" t="n">
        <v>69.8</v>
      </c>
    </row>
    <row r="55">
      <c r="B55" s="19" t="inlineStr">
        <is>
          <t xml:space="preserve">  人件費 計(=上記)</t>
        </is>
      </c>
      <c r="C55" s="20">
        <f>SUM(C52:C54)</f>
        <v/>
      </c>
      <c r="D55" s="20">
        <f>SUM(D52:D54)</f>
        <v/>
      </c>
      <c r="E55" s="20">
        <f>SUM(E52:E54)</f>
        <v/>
      </c>
      <c r="F55" s="20">
        <f>SUM(F52:F54)</f>
        <v/>
      </c>
      <c r="G55" s="20">
        <f>SUM(G52:G54)</f>
        <v/>
      </c>
    </row>
    <row r="56">
      <c r="B56" s="8" t="inlineStr">
        <is>
          <t>※ 第1期内訳: BOH¥77M / FOH¥53M / 管理¥58M = ¥188M(=pl.labor[0]・roster と tie)</t>
        </is>
      </c>
    </row>
    <row r="57">
      <c r="B57" s="17" t="inlineStr">
        <is>
          <t xml:space="preserve">  水道光熱費</t>
        </is>
      </c>
      <c r="C57" s="18" t="n">
        <v>12</v>
      </c>
      <c r="D57" s="18" t="n">
        <v>13</v>
      </c>
      <c r="E57" s="18" t="n">
        <v>14</v>
      </c>
      <c r="F57" s="18" t="n">
        <v>14</v>
      </c>
      <c r="G57" s="18" t="n">
        <v>14</v>
      </c>
    </row>
    <row r="58">
      <c r="B58" s="17" t="inlineStr">
        <is>
          <t xml:space="preserve">  販促・PR・UGC(値引なし)</t>
        </is>
      </c>
      <c r="C58" s="18" t="n">
        <v>10</v>
      </c>
      <c r="D58" s="18" t="n">
        <v>20</v>
      </c>
      <c r="E58" s="18" t="n">
        <v>15</v>
      </c>
      <c r="F58" s="18" t="n">
        <v>8</v>
      </c>
      <c r="G58" s="18" t="n">
        <v>4</v>
      </c>
    </row>
    <row r="59">
      <c r="B59" s="17" t="inlineStr">
        <is>
          <t xml:space="preserve">  クレジットカード手数料(取引あたり≈3.4%・売上総額比≈3.0%)</t>
        </is>
      </c>
      <c r="C59" s="18" t="n">
        <v>14</v>
      </c>
      <c r="D59" s="18" t="n">
        <v>17</v>
      </c>
      <c r="E59" s="18" t="n">
        <v>19</v>
      </c>
      <c r="F59" s="18" t="n">
        <v>20</v>
      </c>
      <c r="G59" s="18" t="n">
        <v>21</v>
      </c>
    </row>
    <row r="60">
      <c r="B60" s="17" t="inlineStr">
        <is>
          <t xml:space="preserve">  消耗品・備品・リネン</t>
        </is>
      </c>
      <c r="C60" s="18" t="n">
        <v>6</v>
      </c>
      <c r="D60" s="18" t="n">
        <v>7</v>
      </c>
      <c r="E60" s="18" t="n">
        <v>7</v>
      </c>
      <c r="F60" s="18" t="n">
        <v>7</v>
      </c>
      <c r="G60" s="18" t="n">
        <v>7</v>
      </c>
    </row>
    <row r="61">
      <c r="B61" s="17" t="inlineStr">
        <is>
          <t xml:space="preserve">  保険・通信・POS/予約システム</t>
        </is>
      </c>
      <c r="C61" s="18" t="n">
        <v>5</v>
      </c>
      <c r="D61" s="18" t="n">
        <v>6</v>
      </c>
      <c r="E61" s="18" t="n">
        <v>6</v>
      </c>
      <c r="F61" s="18" t="n">
        <v>6</v>
      </c>
      <c r="G61" s="18" t="n">
        <v>6</v>
      </c>
    </row>
    <row r="62">
      <c r="B62" s="17" t="inlineStr">
        <is>
          <t xml:space="preserve">  修繕・清掃・廃棄物</t>
        </is>
      </c>
      <c r="C62" s="18" t="n">
        <v>4</v>
      </c>
      <c r="D62" s="18" t="n">
        <v>5</v>
      </c>
      <c r="E62" s="18" t="n">
        <v>5</v>
      </c>
      <c r="F62" s="18" t="n">
        <v>5</v>
      </c>
      <c r="G62" s="18" t="n">
        <v>5</v>
      </c>
    </row>
    <row r="63">
      <c r="B63" s="17" t="inlineStr">
        <is>
          <t xml:space="preserve">  花・装飾・音楽著作権</t>
        </is>
      </c>
      <c r="C63" s="18" t="n">
        <v>3</v>
      </c>
      <c r="D63" s="18" t="n">
        <v>4</v>
      </c>
      <c r="E63" s="18" t="n">
        <v>4</v>
      </c>
      <c r="F63" s="18" t="n">
        <v>4</v>
      </c>
      <c r="G63" s="18" t="n">
        <v>4</v>
      </c>
    </row>
    <row r="64">
      <c r="B64" s="17" t="inlineStr">
        <is>
          <t xml:space="preserve">  会計・税理士・法務</t>
        </is>
      </c>
      <c r="C64" s="18" t="n">
        <v>3</v>
      </c>
      <c r="D64" s="18" t="n">
        <v>3</v>
      </c>
      <c r="E64" s="18" t="n">
        <v>3</v>
      </c>
      <c r="F64" s="18" t="n">
        <v>3</v>
      </c>
      <c r="G64" s="18" t="n">
        <v>3</v>
      </c>
    </row>
    <row r="65">
      <c r="B65" s="17" t="inlineStr">
        <is>
          <t xml:space="preserve">  開業・研修(第1期のみ)</t>
        </is>
      </c>
      <c r="C65" s="18" t="n">
        <v>5</v>
      </c>
      <c r="D65" s="18" t="n">
        <v>0</v>
      </c>
      <c r="E65" s="18" t="n">
        <v>0</v>
      </c>
      <c r="F65" s="18" t="n">
        <v>0</v>
      </c>
      <c r="G65" s="18" t="n">
        <v>0</v>
      </c>
    </row>
    <row r="66">
      <c r="B66" s="17" t="inlineStr">
        <is>
          <t xml:space="preserve">  予備費(差額調整)</t>
        </is>
      </c>
      <c r="C66" s="18" t="n">
        <v>2</v>
      </c>
      <c r="D66" s="18" t="n">
        <v>4</v>
      </c>
      <c r="E66" s="18" t="n">
        <v>3</v>
      </c>
      <c r="F66" s="18" t="n">
        <v>1</v>
      </c>
      <c r="G66" s="18" t="n">
        <v>0</v>
      </c>
    </row>
    <row r="67">
      <c r="B67" s="19" t="inlineStr">
        <is>
          <t xml:space="preserve">  その他営業費用 計(=P&amp;Lと一致)</t>
        </is>
      </c>
      <c r="C67" s="20">
        <f>SUM(C57:C66)</f>
        <v/>
      </c>
      <c r="D67" s="20">
        <f>SUM(D57:D66)</f>
        <v/>
      </c>
      <c r="E67" s="20">
        <f>SUM(E57:E66)</f>
        <v/>
      </c>
      <c r="F67" s="20">
        <f>SUM(F57:F66)</f>
        <v/>
      </c>
      <c r="G67" s="20">
        <f>SUM(G57:G66)</f>
        <v/>
      </c>
    </row>
  </sheetData>
  <mergeCells count="6">
    <mergeCell ref="B2:G2"/>
    <mergeCell ref="B42:G42"/>
    <mergeCell ref="B41:G41"/>
    <mergeCell ref="B1:G1"/>
    <mergeCell ref="B40:G40"/>
    <mergeCell ref="B56:G56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B1:D25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36" customWidth="1" min="2" max="2"/>
    <col width="12" customWidth="1" min="3" max="3"/>
    <col width="12" customWidth="1" min="4" max="4"/>
    <col width="13" customWidth="1" min="5" max="5"/>
    <col width="13" customWidth="1" min="6" max="6"/>
    <col width="13" customWidth="1" min="7" max="7"/>
  </cols>
  <sheetData>
    <row r="1" ht="32" customHeight="1">
      <c r="B1" s="1" t="inlineStr">
        <is>
          <t>Checks — 整合性チェック(Big-4必須)</t>
        </is>
      </c>
      <c r="C1" s="2" t="n"/>
      <c r="D1" s="2" t="n"/>
    </row>
    <row r="2">
      <c r="B2" s="3" t="inlineStr">
        <is>
          <t>ABS(差)&gt;2.5百万でERROR／MASTER CHECKが全体合否</t>
        </is>
      </c>
      <c r="C2" s="2" t="n"/>
      <c r="D2" s="2" t="n"/>
    </row>
    <row r="4">
      <c r="B4" s="13" t="inlineStr">
        <is>
          <t>チェック項目</t>
        </is>
      </c>
      <c r="C4" s="13" t="inlineStr">
        <is>
          <t>判定</t>
        </is>
      </c>
      <c r="D4" s="13" t="inlineStr">
        <is>
          <t>差</t>
        </is>
      </c>
    </row>
    <row r="5">
      <c r="B5" s="11" t="inlineStr">
        <is>
          <t>売上ビルド 通期 = 第1期P&amp;L売上</t>
        </is>
      </c>
      <c r="C5" s="80">
        <f>IF(ABS(D5)&lt;=2.5,"OK","ERROR")</f>
        <v/>
      </c>
      <c r="D5" s="81">
        <f>('売上ビルド(月次×メニュー)'!O27)-(損益計算書!C12)</f>
        <v/>
      </c>
    </row>
    <row r="6">
      <c r="B6" s="11" t="inlineStr">
        <is>
          <t>人員スケジュール 合計 ≈ 第1期人件費(±3)</t>
        </is>
      </c>
      <c r="C6" s="80">
        <f>IF(ABS(D6)&lt;=2.5,"OK","ERROR")</f>
        <v/>
      </c>
      <c r="D6" s="81">
        <f>('人員スケジュール(人別×月次)'!S36)-(-損益計算書!C17)</f>
        <v/>
      </c>
    </row>
    <row r="7">
      <c r="B7" s="11" t="inlineStr">
        <is>
          <t>月次損益 第1期 通期 = 年次EBIT(第1期)</t>
        </is>
      </c>
      <c r="C7" s="80">
        <f>IF(ABS(D7)&lt;=2.5,"OK","ERROR")</f>
        <v/>
      </c>
      <c r="D7" s="81">
        <f>('月次(全5期)'!O14)-(損益計算書!C24)</f>
        <v/>
      </c>
    </row>
    <row r="8">
      <c r="B8" s="11" t="inlineStr">
        <is>
          <t>月次損益 第5期 通期 = 年次EBIT(第5期)</t>
        </is>
      </c>
      <c r="C8" s="80">
        <f>IF(ABS(D8)&lt;=2.5,"OK","ERROR")</f>
        <v/>
      </c>
      <c r="D8" s="81">
        <f>('月次(全5期)'!BO14)-(損益計算書!G24)</f>
        <v/>
      </c>
    </row>
    <row r="9">
      <c r="B9" s="11" t="inlineStr">
        <is>
          <t>BS貸借一致(全期)</t>
        </is>
      </c>
      <c r="C9" s="80">
        <f>IF(SUM(貸借対照表!C24:H24)=0,"OK","ERROR")</f>
        <v/>
      </c>
    </row>
    <row r="10">
      <c r="B10" s="11" t="inlineStr">
        <is>
          <t>サニティ: 現金残高 ≥ 0(全期)</t>
        </is>
      </c>
      <c r="C10" s="80">
        <f>IF(MIN(貸借対照表!C6:H6)&gt;=0,"OK","ERROR")</f>
        <v/>
      </c>
      <c r="D10" s="81">
        <f>MIN(貸借対照表!C6:H6)</f>
        <v/>
      </c>
    </row>
    <row r="11">
      <c r="B11" s="11" t="inlineStr">
        <is>
          <t>サニティ: 減価償却累計 ≤ 取得原価(簿価≥0)</t>
        </is>
      </c>
      <c r="C11" s="80">
        <f>IF(減価償却スケジュール!G23&gt;=0,"OK","ERROR")</f>
        <v/>
      </c>
      <c r="D11" s="81">
        <f>減価償却スケジュール!G23</f>
        <v/>
      </c>
    </row>
    <row r="12">
      <c r="B12" s="11" t="inlineStr">
        <is>
          <t>サニティ: Σ資産配賦 = build-out(¥250M)</t>
        </is>
      </c>
      <c r="C12" s="80">
        <f>IF(ABS(減価償却スケジュール!C15-'前提条件'!C27)&lt;=0.05,"OK","ERROR")</f>
        <v/>
      </c>
      <c r="D12" s="81">
        <f>減価償却スケジュール!C15-'前提条件'!C27</f>
        <v/>
      </c>
    </row>
    <row r="13">
      <c r="B13" s="11" t="inlineStr">
        <is>
          <t>サニティ: Σ年償却 ≈ P&amp;L償却(第1期・±0.1)</t>
        </is>
      </c>
      <c r="C13" s="80">
        <f>IF(ABS(減価償却スケジュール!F15-'前提条件'!C20)&lt;=0.1,"OK","ERROR")</f>
        <v/>
      </c>
      <c r="D13" s="81">
        <f>減価償却スケジュール!F15-'前提条件'!C20</f>
        <v/>
      </c>
    </row>
    <row r="14">
      <c r="B14" s="11" t="inlineStr">
        <is>
          <t>サニティ: 各期 life-gate 償却 = P&amp;L償却(全5期・±0.1)</t>
        </is>
      </c>
      <c r="C14" s="80">
        <f>IF(SUMPRODUCT(ABS(減価償却スケジュール!C21:G21))&lt;=0.1,"OK","ERROR")</f>
        <v/>
      </c>
      <c r="D14" s="81">
        <f>SUMPRODUCT(ABS(減価償却スケジュール!C21:G21))</f>
        <v/>
      </c>
    </row>
    <row r="15">
      <c r="B15" s="11" t="inlineStr">
        <is>
          <t>サニティ: 下請法 DPO ≤ 60日</t>
        </is>
      </c>
      <c r="C15" s="80">
        <f>IF(運転資本スケジュール!C8&lt;=60,"OK","ERROR")</f>
        <v/>
      </c>
      <c r="D15" s="82">
        <f>運転資本スケジュール!C8</f>
        <v/>
      </c>
    </row>
    <row r="16">
      <c r="B16" s="11" t="inlineStr">
        <is>
          <t>サニティ: 実効税率(第5期)10-40%圏</t>
        </is>
      </c>
      <c r="C16" s="80">
        <f>IF(AND(税スケジュール!G25&gt;=0.1,税スケジュール!G25&lt;=0.4),"OK","ERROR")</f>
        <v/>
      </c>
      <c r="D16" s="83">
        <f>税スケジュール!G25</f>
        <v/>
      </c>
    </row>
    <row r="17">
      <c r="B17" s="11" t="inlineStr">
        <is>
          <t>restructure: 総融資 = Partner→BookYou + Partner→店(¥345=280+65)</t>
        </is>
      </c>
      <c r="C17" s="80">
        <f>IF(AND(資本構造!C7=345,資本構造!C7=資本構造!C5+資本構造!C6),"OK","ERROR")</f>
        <v/>
      </c>
      <c r="D17" s="81">
        <f>資本構造!C7-(資本構造!C5+資本構造!C6)</f>
        <v/>
      </c>
    </row>
    <row r="18">
      <c r="B18" s="11" t="inlineStr">
        <is>
          <t>restructure: NOL使用 ≤ 期首¥280M</t>
        </is>
      </c>
      <c r="C18" s="80">
        <f>IF(BookYou欠損金!C9&lt;=BookYou欠損金!C5+0.05,"OK","ERROR")</f>
        <v/>
      </c>
      <c r="D18" s="81">
        <f>BookYou欠損金!C9-BookYou欠損金!C5</f>
        <v/>
      </c>
    </row>
    <row r="19">
      <c r="B19" s="11" t="inlineStr">
        <is>
          <t>restructure: BookYou借入残 → 0(完済)</t>
        </is>
      </c>
      <c r="C19" s="80">
        <f>IF(ABS('Initial Recovery 年次'!N7)&lt;=0.5,"OK","ERROR")</f>
        <v/>
      </c>
      <c r="D19" s="81">
        <f>'Initial Recovery 年次'!N7</f>
        <v/>
      </c>
    </row>
    <row r="20">
      <c r="B20" s="11" t="inlineStr">
        <is>
          <t>restructure: 店¥65借入残 → 0(完済)</t>
        </is>
      </c>
      <c r="C20" s="80">
        <f>IF(ABS('Initial Recovery 年次'!O7)&lt;=0.5,"OK","ERROR")</f>
        <v/>
      </c>
      <c r="D20" s="81">
        <f>'Initial Recovery 年次'!O7</f>
        <v/>
      </c>
    </row>
    <row r="21">
      <c r="B21" s="11" t="inlineStr">
        <is>
          <t>restructure: 報酬は逓減し Recovery後0(最終年≤前年)</t>
        </is>
      </c>
      <c r="C21" s="80">
        <f>IF('Initial Recovery 年次'!H7&lt;='Initial Recovery 年次'!H6+0.05,"OK","ERROR")</f>
        <v/>
      </c>
      <c r="D21" s="81">
        <f>'Initial Recovery 年次'!H7-'Initial Recovery 年次'!H6</f>
        <v/>
      </c>
    </row>
    <row r="22">
      <c r="B22" s="11" t="inlineStr">
        <is>
          <t>restructure: 出口EV = 正常化EBITDA × 倍率</t>
        </is>
      </c>
      <c r="C22" s="80">
        <f>IF(ABS('Terminal Value'!C8-'Terminal Value'!C6*'Terminal Value'!C7)&lt;=0.1,"OK","ERROR")</f>
        <v/>
      </c>
      <c r="D22" s="81">
        <f>'Terminal Value'!C8-'Terminal Value'!C6*'Terminal Value'!C7</f>
        <v/>
      </c>
    </row>
    <row r="23">
      <c r="B23" s="11" t="inlineStr">
        <is>
          <t>restructure: Partner確定現金回収 = 元本¥345M+利息+食材粗利</t>
        </is>
      </c>
      <c r="C23" s="80">
        <f>IF(ABS('Terminal Value'!C14-('Terminal Value'!C15+'Terminal Value'!C16+'Terminal Value'!C17))&lt;=0.1,"OK","ERROR")</f>
        <v/>
      </c>
      <c r="D23" s="81">
        <f>'Terminal Value'!C14-('Terminal Value'!C15+'Terminal Value'!C16+'Terminal Value'!C17)</f>
        <v/>
      </c>
    </row>
    <row r="25">
      <c r="B25" s="84" t="inlineStr">
        <is>
          <t>MASTER CHECK</t>
        </is>
      </c>
      <c r="C25" s="85">
        <f>IF(COUNTIF(C5:C23,"ERROR")=0,"✅ OK","❌ ERROR")</f>
        <v/>
      </c>
    </row>
  </sheetData>
  <mergeCells count="2">
    <mergeCell ref="B1:D1"/>
    <mergeCell ref="B2:D2"/>
  </mergeCells>
  <conditionalFormatting sqref="C5:C25">
    <cfRule type="cellIs" priority="1" operator="containsText" dxfId="0">
      <formula>"OK"</formula>
    </cfRule>
    <cfRule type="cellIs" priority="2" operator="containsText" dxfId="1">
      <formula>"ERROR"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G58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32" customHeight="1">
      <c r="B1" s="1" t="inlineStr">
        <is>
          <t>損益計算書 (P&amp;L)</t>
        </is>
      </c>
      <c r="C1" s="2" t="n"/>
      <c r="D1" s="2" t="n"/>
      <c r="E1" s="2" t="n"/>
      <c r="F1" s="2" t="n"/>
      <c r="G1" s="2" t="n"/>
    </row>
    <row r="2">
      <c r="B2" s="3" t="inlineStr">
        <is>
          <t>単位:百万円(¥M／例 600=¥6.0億=6億円)・全て税抜／5期計画／成長率(YoY)・CAGR・各種マージン付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売上高</t>
        </is>
      </c>
      <c r="C5" s="16" t="n"/>
      <c r="D5" s="16" t="n"/>
      <c r="E5" s="16" t="n"/>
      <c r="F5" s="16" t="n"/>
      <c r="G5" s="16" t="n"/>
    </row>
    <row r="6">
      <c r="B6" s="21" t="inlineStr">
        <is>
          <t>料理</t>
        </is>
      </c>
      <c r="C6" s="22">
        <f>'前提条件'!C6</f>
        <v/>
      </c>
      <c r="D6" s="22">
        <f>'前提条件'!D6</f>
        <v/>
      </c>
      <c r="E6" s="22">
        <f>'前提条件'!E6</f>
        <v/>
      </c>
      <c r="F6" s="22">
        <f>'前提条件'!F6</f>
        <v/>
      </c>
      <c r="G6" s="22">
        <f>'前提条件'!G6</f>
        <v/>
      </c>
    </row>
    <row r="7">
      <c r="B7" s="21" t="inlineStr">
        <is>
          <t>飲料</t>
        </is>
      </c>
      <c r="C7" s="22">
        <f>'前提条件'!C7</f>
        <v/>
      </c>
      <c r="D7" s="22">
        <f>'前提条件'!D7</f>
        <v/>
      </c>
      <c r="E7" s="22">
        <f>'前提条件'!E7</f>
        <v/>
      </c>
      <c r="F7" s="22">
        <f>'前提条件'!F7</f>
        <v/>
      </c>
      <c r="G7" s="22">
        <f>'前提条件'!G7</f>
        <v/>
      </c>
    </row>
    <row r="8">
      <c r="B8" s="21" t="inlineStr">
        <is>
          <t>個室料</t>
        </is>
      </c>
      <c r="C8" s="22">
        <f>'前提条件'!C8</f>
        <v/>
      </c>
      <c r="D8" s="22">
        <f>'前提条件'!D8</f>
        <v/>
      </c>
      <c r="E8" s="22">
        <f>'前提条件'!E8</f>
        <v/>
      </c>
      <c r="F8" s="22">
        <f>'前提条件'!F8</f>
        <v/>
      </c>
      <c r="G8" s="22">
        <f>'前提条件'!G8</f>
        <v/>
      </c>
    </row>
    <row r="9">
      <c r="B9" s="21" t="inlineStr">
        <is>
          <t>サービス料(10%)</t>
        </is>
      </c>
      <c r="C9" s="22">
        <f>'前提条件'!C9</f>
        <v/>
      </c>
      <c r="D9" s="22">
        <f>'前提条件'!D9</f>
        <v/>
      </c>
      <c r="E9" s="22">
        <f>'前提条件'!E9</f>
        <v/>
      </c>
      <c r="F9" s="22">
        <f>'前提条件'!F9</f>
        <v/>
      </c>
      <c r="G9" s="22">
        <f>'前提条件'!G9</f>
        <v/>
      </c>
    </row>
    <row r="10">
      <c r="B10" s="21" t="inlineStr">
        <is>
          <t>バー(待ち/ウォークイン)</t>
        </is>
      </c>
      <c r="C10" s="22">
        <f>'前提条件'!C10</f>
        <v/>
      </c>
      <c r="D10" s="22">
        <f>'前提条件'!D10</f>
        <v/>
      </c>
      <c r="E10" s="22">
        <f>'前提条件'!E10</f>
        <v/>
      </c>
      <c r="F10" s="22">
        <f>'前提条件'!F10</f>
        <v/>
      </c>
      <c r="G10" s="22">
        <f>'前提条件'!G10</f>
        <v/>
      </c>
    </row>
    <row r="11">
      <c r="B11" s="21" t="inlineStr">
        <is>
          <t>深夜ラウンジ(23:00–1:30)</t>
        </is>
      </c>
      <c r="C11" s="22">
        <f>'前提条件'!C11</f>
        <v/>
      </c>
      <c r="D11" s="22">
        <f>'前提条件'!D11</f>
        <v/>
      </c>
      <c r="E11" s="22">
        <f>'前提条件'!E11</f>
        <v/>
      </c>
      <c r="F11" s="22">
        <f>'前提条件'!F11</f>
        <v/>
      </c>
      <c r="G11" s="22">
        <f>'前提条件'!G11</f>
        <v/>
      </c>
    </row>
    <row r="12">
      <c r="B12" s="19" t="inlineStr">
        <is>
          <t>売上高合計</t>
        </is>
      </c>
      <c r="C12" s="20">
        <f>SUM(C6:C11)</f>
        <v/>
      </c>
      <c r="D12" s="20">
        <f>SUM(D6:D11)</f>
        <v/>
      </c>
      <c r="E12" s="20">
        <f>SUM(E6:E11)</f>
        <v/>
      </c>
      <c r="F12" s="20">
        <f>SUM(F6:F11)</f>
        <v/>
      </c>
      <c r="G12" s="20">
        <f>SUM(G6:G11)</f>
        <v/>
      </c>
    </row>
    <row r="13">
      <c r="B13" s="21" t="inlineStr">
        <is>
          <t>売上原価(食材)</t>
        </is>
      </c>
      <c r="C13" s="22">
        <f>-'前提条件'!C15</f>
        <v/>
      </c>
      <c r="D13" s="22">
        <f>-'前提条件'!D15</f>
        <v/>
      </c>
      <c r="E13" s="22">
        <f>-'前提条件'!E15</f>
        <v/>
      </c>
      <c r="F13" s="22">
        <f>-'前提条件'!F15</f>
        <v/>
      </c>
      <c r="G13" s="22">
        <f>-'前提条件'!G15</f>
        <v/>
      </c>
    </row>
    <row r="14">
      <c r="B14" s="19" t="inlineStr">
        <is>
          <t>売上総利益</t>
        </is>
      </c>
      <c r="C14" s="20">
        <f>C12+C13</f>
        <v/>
      </c>
      <c r="D14" s="20">
        <f>D12+D13</f>
        <v/>
      </c>
      <c r="E14" s="20">
        <f>E12+E13</f>
        <v/>
      </c>
      <c r="F14" s="20">
        <f>F12+F13</f>
        <v/>
      </c>
      <c r="G14" s="20">
        <f>G12+G13</f>
        <v/>
      </c>
    </row>
    <row r="15">
      <c r="B15" s="25" t="inlineStr">
        <is>
          <t>(売上総利益率)</t>
        </is>
      </c>
      <c r="C15" s="26">
        <f>C14/C12</f>
        <v/>
      </c>
      <c r="D15" s="26">
        <f>D14/D12</f>
        <v/>
      </c>
      <c r="E15" s="26">
        <f>E14/E12</f>
        <v/>
      </c>
      <c r="F15" s="26">
        <f>F14/F12</f>
        <v/>
      </c>
      <c r="G15" s="26">
        <f>G14/G12</f>
        <v/>
      </c>
    </row>
    <row r="16">
      <c r="B16" s="15" t="inlineStr">
        <is>
          <t>販売費及び一般管理費</t>
        </is>
      </c>
      <c r="C16" s="16" t="n"/>
      <c r="D16" s="16" t="n"/>
      <c r="E16" s="16" t="n"/>
      <c r="F16" s="16" t="n"/>
      <c r="G16" s="16" t="n"/>
    </row>
    <row r="17">
      <c r="B17" s="21" t="inlineStr">
        <is>
          <t>人件費</t>
        </is>
      </c>
      <c r="C17" s="22">
        <f>-'前提条件'!C16</f>
        <v/>
      </c>
      <c r="D17" s="22">
        <f>-'前提条件'!D16</f>
        <v/>
      </c>
      <c r="E17" s="22">
        <f>-'前提条件'!E16</f>
        <v/>
      </c>
      <c r="F17" s="22">
        <f>-'前提条件'!F16</f>
        <v/>
      </c>
      <c r="G17" s="22">
        <f>-'前提条件'!G16</f>
        <v/>
      </c>
    </row>
    <row r="18">
      <c r="B18" s="21" t="inlineStr">
        <is>
          <t>地代家賃</t>
        </is>
      </c>
      <c r="C18" s="22">
        <f>-'前提条件'!C17</f>
        <v/>
      </c>
      <c r="D18" s="22">
        <f>-'前提条件'!D17</f>
        <v/>
      </c>
      <c r="E18" s="22">
        <f>-'前提条件'!E17</f>
        <v/>
      </c>
      <c r="F18" s="22">
        <f>-'前提条件'!F17</f>
        <v/>
      </c>
      <c r="G18" s="22">
        <f>-'前提条件'!G17</f>
        <v/>
      </c>
    </row>
    <row r="19">
      <c r="B19" s="21" t="inlineStr">
        <is>
          <t>その他営業費用</t>
        </is>
      </c>
      <c r="C19" s="22">
        <f>-'前提条件'!C18</f>
        <v/>
      </c>
      <c r="D19" s="22">
        <f>-'前提条件'!D18</f>
        <v/>
      </c>
      <c r="E19" s="22">
        <f>-'前提条件'!E18</f>
        <v/>
      </c>
      <c r="F19" s="22">
        <f>-'前提条件'!F18</f>
        <v/>
      </c>
      <c r="G19" s="22">
        <f>-'前提条件'!G18</f>
        <v/>
      </c>
    </row>
    <row r="20">
      <c r="B20" s="21" t="inlineStr">
        <is>
          <t>深夜ラウンジ運営費(DJ・警備・決済)</t>
        </is>
      </c>
      <c r="C20" s="22">
        <f>-'前提条件'!C19</f>
        <v/>
      </c>
      <c r="D20" s="22">
        <f>-'前提条件'!D19</f>
        <v/>
      </c>
      <c r="E20" s="22">
        <f>-'前提条件'!E19</f>
        <v/>
      </c>
      <c r="F20" s="22">
        <f>-'前提条件'!F19</f>
        <v/>
      </c>
      <c r="G20" s="22">
        <f>-'前提条件'!G19</f>
        <v/>
      </c>
    </row>
    <row r="21">
      <c r="B21" s="19" t="inlineStr">
        <is>
          <t>販管費 計</t>
        </is>
      </c>
      <c r="C21" s="20">
        <f>SUM(C17:C20)</f>
        <v/>
      </c>
      <c r="D21" s="20">
        <f>SUM(D17:D20)</f>
        <v/>
      </c>
      <c r="E21" s="20">
        <f>SUM(E17:E20)</f>
        <v/>
      </c>
      <c r="F21" s="20">
        <f>SUM(F17:F20)</f>
        <v/>
      </c>
      <c r="G21" s="20">
        <f>SUM(G17:G20)</f>
        <v/>
      </c>
    </row>
    <row r="22">
      <c r="B22" s="19" t="inlineStr">
        <is>
          <t>EBITDA</t>
        </is>
      </c>
      <c r="C22" s="20">
        <f>C14+C21</f>
        <v/>
      </c>
      <c r="D22" s="20">
        <f>D14+D21</f>
        <v/>
      </c>
      <c r="E22" s="20">
        <f>E14+E21</f>
        <v/>
      </c>
      <c r="F22" s="20">
        <f>F14+F21</f>
        <v/>
      </c>
      <c r="G22" s="20">
        <f>G14+G21</f>
        <v/>
      </c>
    </row>
    <row r="23">
      <c r="B23" s="21" t="inlineStr">
        <is>
          <t>減価償却費</t>
        </is>
      </c>
      <c r="C23" s="22">
        <f>-'前提条件'!C20</f>
        <v/>
      </c>
      <c r="D23" s="22">
        <f>-'前提条件'!D20</f>
        <v/>
      </c>
      <c r="E23" s="22">
        <f>-'前提条件'!E20</f>
        <v/>
      </c>
      <c r="F23" s="22">
        <f>-'前提条件'!F20</f>
        <v/>
      </c>
      <c r="G23" s="22">
        <f>-'前提条件'!G20</f>
        <v/>
      </c>
    </row>
    <row r="24">
      <c r="B24" s="19" t="inlineStr">
        <is>
          <t>営業利益 (EBIT)</t>
        </is>
      </c>
      <c r="C24" s="20">
        <f>C22+C23</f>
        <v/>
      </c>
      <c r="D24" s="20">
        <f>D22+D23</f>
        <v/>
      </c>
      <c r="E24" s="20">
        <f>E22+E23</f>
        <v/>
      </c>
      <c r="F24" s="20">
        <f>F22+F23</f>
        <v/>
      </c>
      <c r="G24" s="20">
        <f>G22+G23</f>
        <v/>
      </c>
    </row>
    <row r="25">
      <c r="B25" s="25" t="inlineStr">
        <is>
          <t>(営業利益率)</t>
        </is>
      </c>
      <c r="C25" s="26">
        <f>C24/C12</f>
        <v/>
      </c>
      <c r="D25" s="26">
        <f>D24/D12</f>
        <v/>
      </c>
      <c r="E25" s="26">
        <f>E24/E12</f>
        <v/>
      </c>
      <c r="F25" s="26">
        <f>F24/F12</f>
        <v/>
      </c>
      <c r="G25" s="26">
        <f>G24/G12</f>
        <v/>
      </c>
    </row>
    <row r="26">
      <c r="B26" s="6" t="inlineStr">
        <is>
          <t>支払利息(支援資本の金利は『資本構造』で計上)</t>
        </is>
      </c>
      <c r="C26" s="27" t="n">
        <v>0</v>
      </c>
      <c r="D26" s="27" t="n">
        <v>0</v>
      </c>
      <c r="E26" s="27" t="n">
        <v>0</v>
      </c>
      <c r="F26" s="27" t="n">
        <v>0</v>
      </c>
      <c r="G26" s="27" t="n">
        <v>0</v>
      </c>
    </row>
    <row r="27">
      <c r="B27" s="19" t="inlineStr">
        <is>
          <t>税引前当期純利益</t>
        </is>
      </c>
      <c r="C27" s="20">
        <f>C24-C26</f>
        <v/>
      </c>
      <c r="D27" s="20">
        <f>D24-D26</f>
        <v/>
      </c>
      <c r="E27" s="20">
        <f>E24-E26</f>
        <v/>
      </c>
      <c r="F27" s="20">
        <f>F24-F26</f>
        <v/>
      </c>
      <c r="G27" s="20">
        <f>G24-G26</f>
        <v/>
      </c>
    </row>
    <row r="28">
      <c r="B28" s="25" t="inlineStr">
        <is>
          <t>繰越欠損金 期首</t>
        </is>
      </c>
      <c r="C28" s="27">
        <f>'前提条件'!C24</f>
        <v/>
      </c>
      <c r="D28" s="27">
        <f>C30</f>
        <v/>
      </c>
      <c r="E28" s="27">
        <f>D30</f>
        <v/>
      </c>
      <c r="F28" s="27">
        <f>E30</f>
        <v/>
      </c>
      <c r="G28" s="27">
        <f>F30</f>
        <v/>
      </c>
    </row>
    <row r="29">
      <c r="B29" s="25" t="inlineStr">
        <is>
          <t xml:space="preserve">  欠損金 充当</t>
        </is>
      </c>
      <c r="C29" s="27">
        <f>MIN(C27,C28)</f>
        <v/>
      </c>
      <c r="D29" s="27">
        <f>MIN(D27,D28)</f>
        <v/>
      </c>
      <c r="E29" s="27">
        <f>MIN(E27,E28)</f>
        <v/>
      </c>
      <c r="F29" s="27">
        <f>MIN(F27,F28)</f>
        <v/>
      </c>
      <c r="G29" s="27">
        <f>MIN(G27,G28)</f>
        <v/>
      </c>
    </row>
    <row r="30">
      <c r="B30" s="25" t="inlineStr">
        <is>
          <t>繰越欠損金 期末</t>
        </is>
      </c>
      <c r="C30" s="27">
        <f>C28-C29</f>
        <v/>
      </c>
      <c r="D30" s="27">
        <f>D28-D29</f>
        <v/>
      </c>
      <c r="E30" s="27">
        <f>E28-E29</f>
        <v/>
      </c>
      <c r="F30" s="27">
        <f>F28-F29</f>
        <v/>
      </c>
      <c r="G30" s="27">
        <f>G28-G29</f>
        <v/>
      </c>
    </row>
    <row r="31">
      <c r="B31" s="21" t="inlineStr">
        <is>
          <t>法人税等(税スケジュール=軽減税率/防衛特別法人税/均等割)</t>
        </is>
      </c>
      <c r="C31" s="22">
        <f>-税スケジュール!C24</f>
        <v/>
      </c>
      <c r="D31" s="22">
        <f>-税スケジュール!D24</f>
        <v/>
      </c>
      <c r="E31" s="22">
        <f>-税スケジュール!E24</f>
        <v/>
      </c>
      <c r="F31" s="22">
        <f>-税スケジュール!F24</f>
        <v/>
      </c>
      <c r="G31" s="22">
        <f>-税スケジュール!G24</f>
        <v/>
      </c>
    </row>
    <row r="32">
      <c r="B32" s="19" t="inlineStr">
        <is>
          <t>当期純利益</t>
        </is>
      </c>
      <c r="C32" s="20">
        <f>C27+C31</f>
        <v/>
      </c>
      <c r="D32" s="20">
        <f>D27+D31</f>
        <v/>
      </c>
      <c r="E32" s="20">
        <f>E27+E31</f>
        <v/>
      </c>
      <c r="F32" s="20">
        <f>F27+F31</f>
        <v/>
      </c>
      <c r="G32" s="20">
        <f>G27+G31</f>
        <v/>
      </c>
    </row>
    <row r="34">
      <c r="B34" s="15" t="inlineStr">
        <is>
          <t>成長率・収益性(GROWTH &amp; RETURNS)</t>
        </is>
      </c>
      <c r="C34" s="16" t="n"/>
      <c r="D34" s="16" t="n"/>
      <c r="E34" s="16" t="n"/>
      <c r="F34" s="16" t="n"/>
      <c r="G34" s="16" t="n"/>
    </row>
    <row r="35">
      <c r="B35" s="28" t="inlineStr">
        <is>
          <t>売上 成長率(YoY)</t>
        </is>
      </c>
      <c r="C35" s="29" t="inlineStr"/>
      <c r="D35" s="29">
        <f>D12/C12-1</f>
        <v/>
      </c>
      <c r="E35" s="29">
        <f>E12/D12-1</f>
        <v/>
      </c>
      <c r="F35" s="29">
        <f>F12/E12-1</f>
        <v/>
      </c>
      <c r="G35" s="29">
        <f>G12/F12-1</f>
        <v/>
      </c>
    </row>
    <row r="36">
      <c r="B36" s="28" t="inlineStr">
        <is>
          <t>EBITDA 成長率(YoY)</t>
        </is>
      </c>
      <c r="C36" s="29" t="inlineStr"/>
      <c r="D36" s="29">
        <f>D22/C22-1</f>
        <v/>
      </c>
      <c r="E36" s="29">
        <f>E22/D22-1</f>
        <v/>
      </c>
      <c r="F36" s="29">
        <f>F22/E22-1</f>
        <v/>
      </c>
      <c r="G36" s="29">
        <f>G22/F22-1</f>
        <v/>
      </c>
    </row>
    <row r="37">
      <c r="B37" s="28" t="inlineStr">
        <is>
          <t>営業利益 成長率(YoY)</t>
        </is>
      </c>
      <c r="C37" s="29" t="inlineStr"/>
      <c r="D37" s="29">
        <f>D24/C24-1</f>
        <v/>
      </c>
      <c r="E37" s="29">
        <f>E24/D24-1</f>
        <v/>
      </c>
      <c r="F37" s="29">
        <f>F24/E24-1</f>
        <v/>
      </c>
      <c r="G37" s="29">
        <f>G24/F24-1</f>
        <v/>
      </c>
    </row>
    <row r="38">
      <c r="B38" s="28" t="inlineStr">
        <is>
          <t>当期純利益 成長率(YoY)</t>
        </is>
      </c>
      <c r="C38" s="29" t="inlineStr"/>
      <c r="D38" s="29">
        <f>IF(C32=0,"n.m.",D32/C32-1)</f>
        <v/>
      </c>
      <c r="E38" s="29">
        <f>IF(D32=0,"n.m.",E32/D32-1)</f>
        <v/>
      </c>
      <c r="F38" s="29">
        <f>IF(E32=0,"n.m.",F32/E32-1)</f>
        <v/>
      </c>
      <c r="G38" s="29">
        <f>IF(F32=0,"n.m.",G32/F32-1)</f>
        <v/>
      </c>
    </row>
    <row r="39">
      <c r="B39" s="6" t="inlineStr">
        <is>
          <t>売上 指数(第1期=100)</t>
        </is>
      </c>
      <c r="C39" s="30">
        <f>C12/$C$12*100</f>
        <v/>
      </c>
      <c r="D39" s="30">
        <f>D12/$C$12*100</f>
        <v/>
      </c>
      <c r="E39" s="30">
        <f>E12/$C$12*100</f>
        <v/>
      </c>
      <c r="F39" s="30">
        <f>F12/$C$12*100</f>
        <v/>
      </c>
      <c r="G39" s="30">
        <f>G12/$C$12*100</f>
        <v/>
      </c>
    </row>
    <row r="40">
      <c r="B40" s="6" t="inlineStr">
        <is>
          <t>EBITDAマージン</t>
        </is>
      </c>
      <c r="C40" s="26">
        <f>C22/C12</f>
        <v/>
      </c>
      <c r="D40" s="26">
        <f>D22/D12</f>
        <v/>
      </c>
      <c r="E40" s="26">
        <f>E22/E12</f>
        <v/>
      </c>
      <c r="F40" s="26">
        <f>F22/F12</f>
        <v/>
      </c>
      <c r="G40" s="26">
        <f>G22/G12</f>
        <v/>
      </c>
    </row>
    <row r="41">
      <c r="B41" s="6" t="inlineStr">
        <is>
          <t>営業利益率</t>
        </is>
      </c>
      <c r="C41" s="26">
        <f>C24/C12</f>
        <v/>
      </c>
      <c r="D41" s="26">
        <f>D24/D12</f>
        <v/>
      </c>
      <c r="E41" s="26">
        <f>E24/E12</f>
        <v/>
      </c>
      <c r="F41" s="26">
        <f>F24/F12</f>
        <v/>
      </c>
      <c r="G41" s="26">
        <f>G24/G12</f>
        <v/>
      </c>
    </row>
    <row r="42">
      <c r="B42" s="19" t="inlineStr">
        <is>
          <t>売上CAGR(5年) / 営業利益CAGR(5年)</t>
        </is>
      </c>
      <c r="C42" s="31">
        <f>(G12/C12)^(1/4)-1</f>
        <v/>
      </c>
      <c r="D42" s="31">
        <f>(G24/C24)^(1/4)-1</f>
        <v/>
      </c>
      <c r="E42" s="32" t="n"/>
      <c r="F42" s="32" t="n"/>
      <c r="G42" s="32" t="n"/>
    </row>
    <row r="44">
      <c r="B44" s="15" t="inlineStr">
        <is>
          <t>シナリオ・シミュレーション(ベース vs 上振れ)</t>
        </is>
      </c>
      <c r="C44" s="16" t="n"/>
      <c r="D44" s="16" t="n"/>
      <c r="E44" s="16" t="n"/>
      <c r="F44" s="16" t="n"/>
      <c r="G44" s="16" t="n"/>
    </row>
    <row r="45">
      <c r="B45" s="19" t="inlineStr">
        <is>
          <t>シナリオ選択 →</t>
        </is>
      </c>
      <c r="C45" s="33" t="inlineStr">
        <is>
          <t>ベース</t>
        </is>
      </c>
      <c r="D45" s="8" t="inlineStr">
        <is>
          <t>← このセルで切替。下の『選択中』が即連動</t>
        </is>
      </c>
    </row>
    <row r="47">
      <c r="B47" s="13" t="inlineStr">
        <is>
          <t>科目</t>
        </is>
      </c>
      <c r="C47" s="14" t="inlineStr">
        <is>
          <t>第1期</t>
        </is>
      </c>
      <c r="D47" s="14" t="inlineStr">
        <is>
          <t>第2期</t>
        </is>
      </c>
      <c r="E47" s="14" t="inlineStr">
        <is>
          <t>第3期</t>
        </is>
      </c>
      <c r="F47" s="14" t="inlineStr">
        <is>
          <t>第4期</t>
        </is>
      </c>
      <c r="G47" s="14" t="inlineStr">
        <is>
          <t>第5期</t>
        </is>
      </c>
    </row>
    <row r="48">
      <c r="B48" s="19" t="inlineStr">
        <is>
          <t>売上高(選択中)</t>
        </is>
      </c>
      <c r="C48" s="20">
        <f>IF($C$45="上振れ",744.9,C12)</f>
        <v/>
      </c>
      <c r="D48" s="20">
        <f>IF($C$45="上振れ",882.1,D12)</f>
        <v/>
      </c>
      <c r="E48" s="20">
        <f>IF($C$45="上振れ",968.5,E12)</f>
        <v/>
      </c>
      <c r="F48" s="20">
        <f>IF($C$45="上振れ",1002.4,F12)</f>
        <v/>
      </c>
      <c r="G48" s="20">
        <f>IF($C$45="上振れ",1026.7,G12)</f>
        <v/>
      </c>
    </row>
    <row r="49">
      <c r="B49" s="19" t="inlineStr">
        <is>
          <t>営業利益(選択中)</t>
        </is>
      </c>
      <c r="C49" s="20">
        <f>IF($C$45="上振れ",203.0,C24)</f>
        <v/>
      </c>
      <c r="D49" s="20">
        <f>IF($C$45="上振れ",271.2,D24)</f>
        <v/>
      </c>
      <c r="E49" s="20">
        <f>IF($C$45="上振れ",323.6,E24)</f>
        <v/>
      </c>
      <c r="F49" s="20">
        <f>IF($C$45="上振れ",345.6,F24)</f>
        <v/>
      </c>
      <c r="G49" s="20">
        <f>IF($C$45="上振れ",356.1,G24)</f>
        <v/>
      </c>
    </row>
    <row r="50">
      <c r="B50" s="6" t="inlineStr">
        <is>
          <t>営業利益率(選択中)</t>
        </is>
      </c>
      <c r="C50" s="26">
        <f>C49/C48</f>
        <v/>
      </c>
      <c r="D50" s="26">
        <f>D49/D48</f>
        <v/>
      </c>
      <c r="E50" s="26">
        <f>E49/E48</f>
        <v/>
      </c>
      <c r="F50" s="26">
        <f>F49/F48</f>
        <v/>
      </c>
      <c r="G50" s="26">
        <f>G49/G48</f>
        <v/>
      </c>
    </row>
    <row r="52">
      <c r="B52" s="15" t="inlineStr">
        <is>
          <t>— 参考: 両シナリオ並列 —</t>
        </is>
      </c>
      <c r="C52" s="16" t="n"/>
      <c r="D52" s="16" t="n"/>
      <c r="E52" s="16" t="n"/>
      <c r="F52" s="16" t="n"/>
      <c r="G52" s="16" t="n"/>
    </row>
    <row r="53">
      <c r="B53" s="21" t="inlineStr">
        <is>
          <t>ベース 売上高</t>
        </is>
      </c>
      <c r="C53" s="22">
        <f>C12</f>
        <v/>
      </c>
      <c r="D53" s="22">
        <f>D12</f>
        <v/>
      </c>
      <c r="E53" s="22">
        <f>E12</f>
        <v/>
      </c>
      <c r="F53" s="22">
        <f>F12</f>
        <v/>
      </c>
      <c r="G53" s="22">
        <f>G12</f>
        <v/>
      </c>
    </row>
    <row r="54">
      <c r="B54" s="6" t="inlineStr">
        <is>
          <t>上振れ 売上高</t>
        </is>
      </c>
      <c r="C54" s="27" t="n">
        <v>744.9</v>
      </c>
      <c r="D54" s="27" t="n">
        <v>882.1</v>
      </c>
      <c r="E54" s="27" t="n">
        <v>968.5</v>
      </c>
      <c r="F54" s="27" t="n">
        <v>1002.4</v>
      </c>
      <c r="G54" s="27" t="n">
        <v>1026.7</v>
      </c>
    </row>
    <row r="55">
      <c r="B55" s="21" t="inlineStr">
        <is>
          <t>ベース 営業利益</t>
        </is>
      </c>
      <c r="C55" s="22">
        <f>C24</f>
        <v/>
      </c>
      <c r="D55" s="22">
        <f>D24</f>
        <v/>
      </c>
      <c r="E55" s="22">
        <f>E24</f>
        <v/>
      </c>
      <c r="F55" s="22">
        <f>F24</f>
        <v/>
      </c>
      <c r="G55" s="22">
        <f>G24</f>
        <v/>
      </c>
    </row>
    <row r="56">
      <c r="B56" s="6" t="inlineStr">
        <is>
          <t>上振れ 営業利益</t>
        </is>
      </c>
      <c r="C56" s="27" t="n">
        <v>203</v>
      </c>
      <c r="D56" s="27" t="n">
        <v>271.2</v>
      </c>
      <c r="E56" s="27" t="n">
        <v>323.6</v>
      </c>
      <c r="F56" s="27" t="n">
        <v>345.6</v>
      </c>
      <c r="G56" s="27" t="n">
        <v>356.1</v>
      </c>
    </row>
    <row r="57">
      <c r="B57" s="28" t="inlineStr">
        <is>
          <t>上振れ 営業利益 差分</t>
        </is>
      </c>
      <c r="C57" s="27">
        <f>C56-C24</f>
        <v/>
      </c>
      <c r="D57" s="27">
        <f>D56-D24</f>
        <v/>
      </c>
      <c r="E57" s="27">
        <f>E56-E24</f>
        <v/>
      </c>
      <c r="F57" s="27">
        <f>F56-F24</f>
        <v/>
      </c>
      <c r="G57" s="27">
        <f>G56-G24</f>
        <v/>
      </c>
    </row>
    <row r="58">
      <c r="B58" s="8" t="inlineStr">
        <is>
          <t>※ 上振れ=ベース売上×操作レバレッジ(増分の大半が高粗利ドリンクで利益化)。第3期で『収支(シナリオ)』の上振れ点に一致・深夜ラウンジ込み。BS/CFはベース基準で表示。</t>
        </is>
      </c>
    </row>
  </sheetData>
  <mergeCells count="4">
    <mergeCell ref="B2:G2"/>
    <mergeCell ref="B58:G58"/>
    <mergeCell ref="D45:G45"/>
    <mergeCell ref="B1:G1"/>
  </mergeCells>
  <dataValidations count="1">
    <dataValidation sqref="C45" showDropDown="0" showInputMessage="0" showErrorMessage="0" allowBlank="0" type="list">
      <formula1>"ベース,上振れ"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BO28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24" customWidth="1" min="2" max="2"/>
    <col width="6.4" customWidth="1" min="3" max="3"/>
    <col width="6.4" customWidth="1" min="4" max="4"/>
    <col width="6.4" customWidth="1" min="5" max="5"/>
    <col width="6.4" customWidth="1" min="6" max="6"/>
    <col width="6.4" customWidth="1" min="7" max="7"/>
    <col width="6.4" customWidth="1" min="8" max="8"/>
    <col width="6.4" customWidth="1" min="9" max="9"/>
    <col width="6.4" customWidth="1" min="10" max="10"/>
    <col width="6.4" customWidth="1" min="11" max="11"/>
    <col width="6.4" customWidth="1" min="12" max="12"/>
    <col width="6.4" customWidth="1" min="13" max="13"/>
    <col width="6.4" customWidth="1" min="14" max="14"/>
    <col width="8.800000000000001" customWidth="1" min="15" max="15"/>
    <col width="6.4" customWidth="1" min="16" max="16"/>
    <col width="6.4" customWidth="1" min="17" max="17"/>
    <col width="6.4" customWidth="1" min="18" max="18"/>
    <col width="6.4" customWidth="1" min="19" max="19"/>
    <col width="6.4" customWidth="1" min="20" max="20"/>
    <col width="6.4" customWidth="1" min="21" max="21"/>
    <col width="6.4" customWidth="1" min="22" max="22"/>
    <col width="6.4" customWidth="1" min="23" max="23"/>
    <col width="6.4" customWidth="1" min="24" max="24"/>
    <col width="6.4" customWidth="1" min="25" max="25"/>
    <col width="6.4" customWidth="1" min="26" max="26"/>
    <col width="6.4" customWidth="1" min="27" max="27"/>
    <col width="8.800000000000001" customWidth="1" min="28" max="28"/>
    <col width="6.4" customWidth="1" min="29" max="29"/>
    <col width="6.4" customWidth="1" min="30" max="30"/>
    <col width="6.4" customWidth="1" min="31" max="31"/>
    <col width="6.4" customWidth="1" min="32" max="32"/>
    <col width="6.4" customWidth="1" min="33" max="33"/>
    <col width="6.4" customWidth="1" min="34" max="34"/>
    <col width="6.4" customWidth="1" min="35" max="35"/>
    <col width="6.4" customWidth="1" min="36" max="36"/>
    <col width="6.4" customWidth="1" min="37" max="37"/>
    <col width="6.4" customWidth="1" min="38" max="38"/>
    <col width="6.4" customWidth="1" min="39" max="39"/>
    <col width="6.4" customWidth="1" min="40" max="40"/>
    <col width="8.800000000000001" customWidth="1" min="41" max="41"/>
    <col width="6.4" customWidth="1" min="42" max="42"/>
    <col width="6.4" customWidth="1" min="43" max="43"/>
    <col width="6.4" customWidth="1" min="44" max="44"/>
    <col width="6.4" customWidth="1" min="45" max="45"/>
    <col width="6.4" customWidth="1" min="46" max="46"/>
    <col width="6.4" customWidth="1" min="47" max="47"/>
    <col width="6.4" customWidth="1" min="48" max="48"/>
    <col width="6.4" customWidth="1" min="49" max="49"/>
    <col width="6.4" customWidth="1" min="50" max="50"/>
    <col width="6.4" customWidth="1" min="51" max="51"/>
    <col width="6.4" customWidth="1" min="52" max="52"/>
    <col width="6.4" customWidth="1" min="53" max="53"/>
    <col width="8.800000000000001" customWidth="1" min="54" max="54"/>
    <col width="6.4" customWidth="1" min="55" max="55"/>
    <col width="6.4" customWidth="1" min="56" max="56"/>
    <col width="6.4" customWidth="1" min="57" max="57"/>
    <col width="6.4" customWidth="1" min="58" max="58"/>
    <col width="6.4" customWidth="1" min="59" max="59"/>
    <col width="6.4" customWidth="1" min="60" max="60"/>
    <col width="6.4" customWidth="1" min="61" max="61"/>
    <col width="6.4" customWidth="1" min="62" max="62"/>
    <col width="6.4" customWidth="1" min="63" max="63"/>
    <col width="6.4" customWidth="1" min="64" max="64"/>
    <col width="6.4" customWidth="1" min="65" max="65"/>
    <col width="6.4" customWidth="1" min="66" max="66"/>
    <col width="8.800000000000001" customWidth="1" min="67" max="67"/>
  </cols>
  <sheetData>
    <row r="1" ht="32" customHeight="1">
      <c r="B1" s="1" t="inlineStr">
        <is>
          <t>月次 損益・資金繰り(全5期 × 12ヶ月 = 60ヶ月)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  <c r="AN1" s="2" t="n"/>
      <c r="AO1" s="2" t="n"/>
      <c r="AP1" s="2" t="n"/>
      <c r="AQ1" s="2" t="n"/>
      <c r="AR1" s="2" t="n"/>
      <c r="AS1" s="2" t="n"/>
      <c r="AT1" s="2" t="n"/>
      <c r="AU1" s="2" t="n"/>
      <c r="AV1" s="2" t="n"/>
      <c r="AW1" s="2" t="n"/>
      <c r="AX1" s="2" t="n"/>
      <c r="AY1" s="2" t="n"/>
      <c r="AZ1" s="2" t="n"/>
      <c r="BA1" s="2" t="n"/>
      <c r="BB1" s="2" t="n"/>
      <c r="BC1" s="2" t="n"/>
      <c r="BD1" s="2" t="n"/>
      <c r="BE1" s="2" t="n"/>
      <c r="BF1" s="2" t="n"/>
      <c r="BG1" s="2" t="n"/>
      <c r="BH1" s="2" t="n"/>
      <c r="BI1" s="2" t="n"/>
      <c r="BJ1" s="2" t="n"/>
      <c r="BK1" s="2" t="n"/>
      <c r="BL1" s="2" t="n"/>
      <c r="BM1" s="2" t="n"/>
      <c r="BN1" s="2" t="n"/>
      <c r="BO1" s="2" t="n"/>
    </row>
    <row r="2">
      <c r="B2" s="3" t="inlineStr">
        <is>
          <t>単位:百万円(¥M／例 600=¥6.0億)(¥M)／『第1期 1月…12月 期計』を横に5期分。期計=年次計画と一致／税抜／第1期=開業ランプ・第2-5期=季節性配分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  <c r="AM2" s="2" t="n"/>
      <c r="AN2" s="2" t="n"/>
      <c r="AO2" s="2" t="n"/>
      <c r="AP2" s="2" t="n"/>
      <c r="AQ2" s="2" t="n"/>
      <c r="AR2" s="2" t="n"/>
      <c r="AS2" s="2" t="n"/>
      <c r="AT2" s="2" t="n"/>
      <c r="AU2" s="2" t="n"/>
      <c r="AV2" s="2" t="n"/>
      <c r="AW2" s="2" t="n"/>
      <c r="AX2" s="2" t="n"/>
      <c r="AY2" s="2" t="n"/>
      <c r="AZ2" s="2" t="n"/>
      <c r="BA2" s="2" t="n"/>
      <c r="BB2" s="2" t="n"/>
      <c r="BC2" s="2" t="n"/>
      <c r="BD2" s="2" t="n"/>
      <c r="BE2" s="2" t="n"/>
      <c r="BF2" s="2" t="n"/>
      <c r="BG2" s="2" t="n"/>
      <c r="BH2" s="2" t="n"/>
      <c r="BI2" s="2" t="n"/>
      <c r="BJ2" s="2" t="n"/>
      <c r="BK2" s="2" t="n"/>
      <c r="BL2" s="2" t="n"/>
      <c r="BM2" s="2" t="n"/>
      <c r="BN2" s="2" t="n"/>
      <c r="BO2" s="2" t="n"/>
    </row>
    <row r="4">
      <c r="B4" s="13" t="inlineStr">
        <is>
          <t>科目</t>
        </is>
      </c>
      <c r="C4" s="14" t="inlineStr">
        <is>
          <t>第1期</t>
        </is>
      </c>
      <c r="P4" s="14" t="inlineStr">
        <is>
          <t>第2期</t>
        </is>
      </c>
      <c r="AC4" s="14" t="inlineStr">
        <is>
          <t>第3期</t>
        </is>
      </c>
      <c r="AP4" s="14" t="inlineStr">
        <is>
          <t>第4期</t>
        </is>
      </c>
      <c r="BC4" s="14" t="inlineStr">
        <is>
          <t>第5期</t>
        </is>
      </c>
    </row>
    <row r="5">
      <c r="B5" s="34" t="n"/>
      <c r="C5" s="14" t="inlineStr">
        <is>
          <t>1月</t>
        </is>
      </c>
      <c r="D5" s="14" t="inlineStr">
        <is>
          <t>2月</t>
        </is>
      </c>
      <c r="E5" s="14" t="inlineStr">
        <is>
          <t>3月</t>
        </is>
      </c>
      <c r="F5" s="14" t="inlineStr">
        <is>
          <t>4月</t>
        </is>
      </c>
      <c r="G5" s="14" t="inlineStr">
        <is>
          <t>5月</t>
        </is>
      </c>
      <c r="H5" s="14" t="inlineStr">
        <is>
          <t>6月</t>
        </is>
      </c>
      <c r="I5" s="14" t="inlineStr">
        <is>
          <t>7月</t>
        </is>
      </c>
      <c r="J5" s="14" t="inlineStr">
        <is>
          <t>8月</t>
        </is>
      </c>
      <c r="K5" s="14" t="inlineStr">
        <is>
          <t>9月</t>
        </is>
      </c>
      <c r="L5" s="14" t="inlineStr">
        <is>
          <t>10月</t>
        </is>
      </c>
      <c r="M5" s="14" t="inlineStr">
        <is>
          <t>11月</t>
        </is>
      </c>
      <c r="N5" s="14" t="inlineStr">
        <is>
          <t>12月</t>
        </is>
      </c>
      <c r="O5" s="14" t="inlineStr">
        <is>
          <t>期計</t>
        </is>
      </c>
      <c r="P5" s="14" t="inlineStr">
        <is>
          <t>1月</t>
        </is>
      </c>
      <c r="Q5" s="14" t="inlineStr">
        <is>
          <t>2月</t>
        </is>
      </c>
      <c r="R5" s="14" t="inlineStr">
        <is>
          <t>3月</t>
        </is>
      </c>
      <c r="S5" s="14" t="inlineStr">
        <is>
          <t>4月</t>
        </is>
      </c>
      <c r="T5" s="14" t="inlineStr">
        <is>
          <t>5月</t>
        </is>
      </c>
      <c r="U5" s="14" t="inlineStr">
        <is>
          <t>6月</t>
        </is>
      </c>
      <c r="V5" s="14" t="inlineStr">
        <is>
          <t>7月</t>
        </is>
      </c>
      <c r="W5" s="14" t="inlineStr">
        <is>
          <t>8月</t>
        </is>
      </c>
      <c r="X5" s="14" t="inlineStr">
        <is>
          <t>9月</t>
        </is>
      </c>
      <c r="Y5" s="14" t="inlineStr">
        <is>
          <t>10月</t>
        </is>
      </c>
      <c r="Z5" s="14" t="inlineStr">
        <is>
          <t>11月</t>
        </is>
      </c>
      <c r="AA5" s="14" t="inlineStr">
        <is>
          <t>12月</t>
        </is>
      </c>
      <c r="AB5" s="14" t="inlineStr">
        <is>
          <t>期計</t>
        </is>
      </c>
      <c r="AC5" s="14" t="inlineStr">
        <is>
          <t>1月</t>
        </is>
      </c>
      <c r="AD5" s="14" t="inlineStr">
        <is>
          <t>2月</t>
        </is>
      </c>
      <c r="AE5" s="14" t="inlineStr">
        <is>
          <t>3月</t>
        </is>
      </c>
      <c r="AF5" s="14" t="inlineStr">
        <is>
          <t>4月</t>
        </is>
      </c>
      <c r="AG5" s="14" t="inlineStr">
        <is>
          <t>5月</t>
        </is>
      </c>
      <c r="AH5" s="14" t="inlineStr">
        <is>
          <t>6月</t>
        </is>
      </c>
      <c r="AI5" s="14" t="inlineStr">
        <is>
          <t>7月</t>
        </is>
      </c>
      <c r="AJ5" s="14" t="inlineStr">
        <is>
          <t>8月</t>
        </is>
      </c>
      <c r="AK5" s="14" t="inlineStr">
        <is>
          <t>9月</t>
        </is>
      </c>
      <c r="AL5" s="14" t="inlineStr">
        <is>
          <t>10月</t>
        </is>
      </c>
      <c r="AM5" s="14" t="inlineStr">
        <is>
          <t>11月</t>
        </is>
      </c>
      <c r="AN5" s="14" t="inlineStr">
        <is>
          <t>12月</t>
        </is>
      </c>
      <c r="AO5" s="14" t="inlineStr">
        <is>
          <t>期計</t>
        </is>
      </c>
      <c r="AP5" s="14" t="inlineStr">
        <is>
          <t>1月</t>
        </is>
      </c>
      <c r="AQ5" s="14" t="inlineStr">
        <is>
          <t>2月</t>
        </is>
      </c>
      <c r="AR5" s="14" t="inlineStr">
        <is>
          <t>3月</t>
        </is>
      </c>
      <c r="AS5" s="14" t="inlineStr">
        <is>
          <t>4月</t>
        </is>
      </c>
      <c r="AT5" s="14" t="inlineStr">
        <is>
          <t>5月</t>
        </is>
      </c>
      <c r="AU5" s="14" t="inlineStr">
        <is>
          <t>6月</t>
        </is>
      </c>
      <c r="AV5" s="14" t="inlineStr">
        <is>
          <t>7月</t>
        </is>
      </c>
      <c r="AW5" s="14" t="inlineStr">
        <is>
          <t>8月</t>
        </is>
      </c>
      <c r="AX5" s="14" t="inlineStr">
        <is>
          <t>9月</t>
        </is>
      </c>
      <c r="AY5" s="14" t="inlineStr">
        <is>
          <t>10月</t>
        </is>
      </c>
      <c r="AZ5" s="14" t="inlineStr">
        <is>
          <t>11月</t>
        </is>
      </c>
      <c r="BA5" s="14" t="inlineStr">
        <is>
          <t>12月</t>
        </is>
      </c>
      <c r="BB5" s="14" t="inlineStr">
        <is>
          <t>期計</t>
        </is>
      </c>
      <c r="BC5" s="14" t="inlineStr">
        <is>
          <t>1月</t>
        </is>
      </c>
      <c r="BD5" s="14" t="inlineStr">
        <is>
          <t>2月</t>
        </is>
      </c>
      <c r="BE5" s="14" t="inlineStr">
        <is>
          <t>3月</t>
        </is>
      </c>
      <c r="BF5" s="14" t="inlineStr">
        <is>
          <t>4月</t>
        </is>
      </c>
      <c r="BG5" s="14" t="inlineStr">
        <is>
          <t>5月</t>
        </is>
      </c>
      <c r="BH5" s="14" t="inlineStr">
        <is>
          <t>6月</t>
        </is>
      </c>
      <c r="BI5" s="14" t="inlineStr">
        <is>
          <t>7月</t>
        </is>
      </c>
      <c r="BJ5" s="14" t="inlineStr">
        <is>
          <t>8月</t>
        </is>
      </c>
      <c r="BK5" s="14" t="inlineStr">
        <is>
          <t>9月</t>
        </is>
      </c>
      <c r="BL5" s="14" t="inlineStr">
        <is>
          <t>10月</t>
        </is>
      </c>
      <c r="BM5" s="14" t="inlineStr">
        <is>
          <t>11月</t>
        </is>
      </c>
      <c r="BN5" s="14" t="inlineStr">
        <is>
          <t>12月</t>
        </is>
      </c>
      <c r="BO5" s="14" t="inlineStr">
        <is>
          <t>期計</t>
        </is>
      </c>
    </row>
    <row r="6">
      <c r="B6" s="15" t="inlineStr">
        <is>
          <t>損益計算書(月次)</t>
        </is>
      </c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  <c r="AP6" s="5" t="n"/>
      <c r="AQ6" s="5" t="n"/>
      <c r="AR6" s="5" t="n"/>
      <c r="AS6" s="5" t="n"/>
      <c r="AT6" s="5" t="n"/>
      <c r="AU6" s="5" t="n"/>
      <c r="AV6" s="5" t="n"/>
      <c r="AW6" s="5" t="n"/>
      <c r="AX6" s="5" t="n"/>
      <c r="AY6" s="5" t="n"/>
      <c r="AZ6" s="5" t="n"/>
      <c r="BA6" s="5" t="n"/>
      <c r="BB6" s="5" t="n"/>
      <c r="BC6" s="5" t="n"/>
      <c r="BD6" s="5" t="n"/>
      <c r="BE6" s="5" t="n"/>
      <c r="BF6" s="5" t="n"/>
      <c r="BG6" s="5" t="n"/>
      <c r="BH6" s="5" t="n"/>
      <c r="BI6" s="5" t="n"/>
      <c r="BJ6" s="5" t="n"/>
      <c r="BK6" s="5" t="n"/>
      <c r="BL6" s="5" t="n"/>
      <c r="BM6" s="5" t="n"/>
      <c r="BN6" s="5" t="n"/>
      <c r="BO6" s="5" t="n"/>
    </row>
    <row r="7">
      <c r="B7" s="19" t="inlineStr">
        <is>
          <t>売上高</t>
        </is>
      </c>
      <c r="C7" s="20" t="n">
        <v>41</v>
      </c>
      <c r="D7" s="20" t="n">
        <v>44.1</v>
      </c>
      <c r="E7" s="20" t="n">
        <v>47.3</v>
      </c>
      <c r="F7" s="20" t="n">
        <v>48.9</v>
      </c>
      <c r="G7" s="20" t="n">
        <v>49.7</v>
      </c>
      <c r="H7" s="20" t="n">
        <v>48.1</v>
      </c>
      <c r="I7" s="20" t="n">
        <v>46.5</v>
      </c>
      <c r="J7" s="20" t="n">
        <v>48.9</v>
      </c>
      <c r="K7" s="20" t="n">
        <v>52.8</v>
      </c>
      <c r="L7" s="20" t="n">
        <v>56.8</v>
      </c>
      <c r="M7" s="20" t="n">
        <v>63.8</v>
      </c>
      <c r="N7" s="20" t="n">
        <v>66.90000000000001</v>
      </c>
      <c r="O7" s="20" t="n">
        <v>614.8</v>
      </c>
      <c r="P7" s="20" t="n">
        <v>70.38</v>
      </c>
      <c r="Q7" s="20" t="n">
        <v>64.92</v>
      </c>
      <c r="R7" s="20" t="n">
        <v>63.1</v>
      </c>
      <c r="S7" s="20" t="n">
        <v>58.85</v>
      </c>
      <c r="T7" s="20" t="n">
        <v>54.61</v>
      </c>
      <c r="U7" s="20" t="n">
        <v>50.36</v>
      </c>
      <c r="V7" s="20" t="n">
        <v>46.11</v>
      </c>
      <c r="W7" s="20" t="n">
        <v>44.9</v>
      </c>
      <c r="X7" s="20" t="n">
        <v>52.79</v>
      </c>
      <c r="Y7" s="20" t="n">
        <v>60.67</v>
      </c>
      <c r="Z7" s="20" t="n">
        <v>75.84</v>
      </c>
      <c r="AA7" s="20" t="n">
        <v>85.56999999999999</v>
      </c>
      <c r="AB7" s="20" t="n">
        <v>728.1</v>
      </c>
      <c r="AC7" s="20" t="n">
        <v>77.28</v>
      </c>
      <c r="AD7" s="20" t="n">
        <v>71.28</v>
      </c>
      <c r="AE7" s="20" t="n">
        <v>69.28</v>
      </c>
      <c r="AF7" s="20" t="n">
        <v>64.62</v>
      </c>
      <c r="AG7" s="20" t="n">
        <v>59.95</v>
      </c>
      <c r="AH7" s="20" t="n">
        <v>55.29</v>
      </c>
      <c r="AI7" s="20" t="n">
        <v>50.63</v>
      </c>
      <c r="AJ7" s="20" t="n">
        <v>49.3</v>
      </c>
      <c r="AK7" s="20" t="n">
        <v>57.96</v>
      </c>
      <c r="AL7" s="20" t="n">
        <v>66.62</v>
      </c>
      <c r="AM7" s="20" t="n">
        <v>83.27</v>
      </c>
      <c r="AN7" s="20" t="n">
        <v>93.92</v>
      </c>
      <c r="AO7" s="20" t="n">
        <v>799.4</v>
      </c>
      <c r="AP7" s="20" t="n">
        <v>79.98</v>
      </c>
      <c r="AQ7" s="20" t="n">
        <v>73.78</v>
      </c>
      <c r="AR7" s="20" t="n">
        <v>71.70999999999999</v>
      </c>
      <c r="AS7" s="20" t="n">
        <v>66.88</v>
      </c>
      <c r="AT7" s="20" t="n">
        <v>62.05</v>
      </c>
      <c r="AU7" s="20" t="n">
        <v>57.23</v>
      </c>
      <c r="AV7" s="20" t="n">
        <v>52.4</v>
      </c>
      <c r="AW7" s="20" t="n">
        <v>51.02</v>
      </c>
      <c r="AX7" s="20" t="n">
        <v>59.99</v>
      </c>
      <c r="AY7" s="20" t="n">
        <v>68.95</v>
      </c>
      <c r="AZ7" s="20" t="n">
        <v>86.19</v>
      </c>
      <c r="BA7" s="20" t="n">
        <v>97.22</v>
      </c>
      <c r="BB7" s="20" t="n">
        <v>827.4</v>
      </c>
      <c r="BC7" s="20" t="n">
        <v>81.92</v>
      </c>
      <c r="BD7" s="20" t="n">
        <v>75.56</v>
      </c>
      <c r="BE7" s="20" t="n">
        <v>73.44</v>
      </c>
      <c r="BF7" s="20" t="n">
        <v>68.5</v>
      </c>
      <c r="BG7" s="20" t="n">
        <v>63.55</v>
      </c>
      <c r="BH7" s="20" t="n">
        <v>58.61</v>
      </c>
      <c r="BI7" s="20" t="n">
        <v>53.67</v>
      </c>
      <c r="BJ7" s="20" t="n">
        <v>52.26</v>
      </c>
      <c r="BK7" s="20" t="n">
        <v>61.44</v>
      </c>
      <c r="BL7" s="20" t="n">
        <v>70.62</v>
      </c>
      <c r="BM7" s="20" t="n">
        <v>88.27</v>
      </c>
      <c r="BN7" s="20" t="n">
        <v>99.56</v>
      </c>
      <c r="BO7" s="20" t="n">
        <v>847.4</v>
      </c>
    </row>
    <row r="8">
      <c r="B8" s="6" t="inlineStr">
        <is>
          <t>売上原価</t>
        </is>
      </c>
      <c r="C8" s="27" t="n">
        <v>-12.04</v>
      </c>
      <c r="D8" s="27" t="n">
        <v>-12.95</v>
      </c>
      <c r="E8" s="27" t="n">
        <v>-13.89</v>
      </c>
      <c r="F8" s="27" t="n">
        <v>-14.36</v>
      </c>
      <c r="G8" s="27" t="n">
        <v>-14.59</v>
      </c>
      <c r="H8" s="27" t="n">
        <v>-14.12</v>
      </c>
      <c r="I8" s="27" t="n">
        <v>-13.65</v>
      </c>
      <c r="J8" s="27" t="n">
        <v>-14.36</v>
      </c>
      <c r="K8" s="27" t="n">
        <v>-15.5</v>
      </c>
      <c r="L8" s="27" t="n">
        <v>-16.68</v>
      </c>
      <c r="M8" s="27" t="n">
        <v>-18.73</v>
      </c>
      <c r="N8" s="27" t="n">
        <v>-19.63</v>
      </c>
      <c r="O8" s="20" t="n">
        <v>-180.5</v>
      </c>
      <c r="P8" s="27" t="n">
        <v>-21.06</v>
      </c>
      <c r="Q8" s="27" t="n">
        <v>-19.43</v>
      </c>
      <c r="R8" s="27" t="n">
        <v>-18.88</v>
      </c>
      <c r="S8" s="27" t="n">
        <v>-17.61</v>
      </c>
      <c r="T8" s="27" t="n">
        <v>-16.34</v>
      </c>
      <c r="U8" s="27" t="n">
        <v>-15.07</v>
      </c>
      <c r="V8" s="27" t="n">
        <v>-13.8</v>
      </c>
      <c r="W8" s="27" t="n">
        <v>-13.44</v>
      </c>
      <c r="X8" s="27" t="n">
        <v>-15.8</v>
      </c>
      <c r="Y8" s="27" t="n">
        <v>-18.16</v>
      </c>
      <c r="Z8" s="27" t="n">
        <v>-22.7</v>
      </c>
      <c r="AA8" s="27" t="n">
        <v>-25.61</v>
      </c>
      <c r="AB8" s="20" t="n">
        <v>-217.9</v>
      </c>
      <c r="AC8" s="27" t="n">
        <v>-23.26</v>
      </c>
      <c r="AD8" s="27" t="n">
        <v>-21.45</v>
      </c>
      <c r="AE8" s="27" t="n">
        <v>-20.85</v>
      </c>
      <c r="AF8" s="27" t="n">
        <v>-19.45</v>
      </c>
      <c r="AG8" s="27" t="n">
        <v>-18.04</v>
      </c>
      <c r="AH8" s="27" t="n">
        <v>-16.64</v>
      </c>
      <c r="AI8" s="27" t="n">
        <v>-15.24</v>
      </c>
      <c r="AJ8" s="27" t="n">
        <v>-14.84</v>
      </c>
      <c r="AK8" s="27" t="n">
        <v>-17.44</v>
      </c>
      <c r="AL8" s="27" t="n">
        <v>-20.05</v>
      </c>
      <c r="AM8" s="27" t="n">
        <v>-25.06</v>
      </c>
      <c r="AN8" s="27" t="n">
        <v>-28.28</v>
      </c>
      <c r="AO8" s="20" t="n">
        <v>-240.6</v>
      </c>
      <c r="AP8" s="27" t="n">
        <v>-24.14</v>
      </c>
      <c r="AQ8" s="27" t="n">
        <v>-22.26</v>
      </c>
      <c r="AR8" s="27" t="n">
        <v>-21.64</v>
      </c>
      <c r="AS8" s="27" t="n">
        <v>-20.18</v>
      </c>
      <c r="AT8" s="27" t="n">
        <v>-18.73</v>
      </c>
      <c r="AU8" s="27" t="n">
        <v>-17.27</v>
      </c>
      <c r="AV8" s="27" t="n">
        <v>-15.81</v>
      </c>
      <c r="AW8" s="27" t="n">
        <v>-15.4</v>
      </c>
      <c r="AX8" s="27" t="n">
        <v>-18.1</v>
      </c>
      <c r="AY8" s="27" t="n">
        <v>-20.81</v>
      </c>
      <c r="AZ8" s="27" t="n">
        <v>-26.01</v>
      </c>
      <c r="BA8" s="27" t="n">
        <v>-29.35</v>
      </c>
      <c r="BB8" s="20" t="n">
        <v>-249.7</v>
      </c>
      <c r="BC8" s="27" t="n">
        <v>-24.87</v>
      </c>
      <c r="BD8" s="27" t="n">
        <v>-22.94</v>
      </c>
      <c r="BE8" s="27" t="n">
        <v>-22.3</v>
      </c>
      <c r="BF8" s="27" t="n">
        <v>-20.8</v>
      </c>
      <c r="BG8" s="27" t="n">
        <v>-19.3</v>
      </c>
      <c r="BH8" s="27" t="n">
        <v>-17.8</v>
      </c>
      <c r="BI8" s="27" t="n">
        <v>-16.3</v>
      </c>
      <c r="BJ8" s="27" t="n">
        <v>-15.87</v>
      </c>
      <c r="BK8" s="27" t="n">
        <v>-18.65</v>
      </c>
      <c r="BL8" s="27" t="n">
        <v>-21.44</v>
      </c>
      <c r="BM8" s="27" t="n">
        <v>-26.8</v>
      </c>
      <c r="BN8" s="27" t="n">
        <v>-30.23</v>
      </c>
      <c r="BO8" s="20" t="n">
        <v>-257.3</v>
      </c>
    </row>
    <row r="9">
      <c r="B9" s="6" t="inlineStr">
        <is>
          <t>人件費</t>
        </is>
      </c>
      <c r="C9" s="27" t="n">
        <v>-15.67</v>
      </c>
      <c r="D9" s="27" t="n">
        <v>-15.67</v>
      </c>
      <c r="E9" s="27" t="n">
        <v>-15.67</v>
      </c>
      <c r="F9" s="27" t="n">
        <v>-15.67</v>
      </c>
      <c r="G9" s="27" t="n">
        <v>-15.67</v>
      </c>
      <c r="H9" s="27" t="n">
        <v>-15.67</v>
      </c>
      <c r="I9" s="27" t="n">
        <v>-15.67</v>
      </c>
      <c r="J9" s="27" t="n">
        <v>-15.67</v>
      </c>
      <c r="K9" s="27" t="n">
        <v>-15.67</v>
      </c>
      <c r="L9" s="27" t="n">
        <v>-15.67</v>
      </c>
      <c r="M9" s="27" t="n">
        <v>-15.67</v>
      </c>
      <c r="N9" s="27" t="n">
        <v>-15.63</v>
      </c>
      <c r="O9" s="20" t="n">
        <v>-188</v>
      </c>
      <c r="P9" s="27" t="n">
        <v>-16.5</v>
      </c>
      <c r="Q9" s="27" t="n">
        <v>-16.5</v>
      </c>
      <c r="R9" s="27" t="n">
        <v>-16.5</v>
      </c>
      <c r="S9" s="27" t="n">
        <v>-16.5</v>
      </c>
      <c r="T9" s="27" t="n">
        <v>-16.5</v>
      </c>
      <c r="U9" s="27" t="n">
        <v>-16.5</v>
      </c>
      <c r="V9" s="27" t="n">
        <v>-16.5</v>
      </c>
      <c r="W9" s="27" t="n">
        <v>-16.5</v>
      </c>
      <c r="X9" s="27" t="n">
        <v>-16.5</v>
      </c>
      <c r="Y9" s="27" t="n">
        <v>-16.5</v>
      </c>
      <c r="Z9" s="27" t="n">
        <v>-16.5</v>
      </c>
      <c r="AA9" s="27" t="n">
        <v>-16.5</v>
      </c>
      <c r="AB9" s="20" t="n">
        <v>-198</v>
      </c>
      <c r="AC9" s="27" t="n">
        <v>-17.17</v>
      </c>
      <c r="AD9" s="27" t="n">
        <v>-17.17</v>
      </c>
      <c r="AE9" s="27" t="n">
        <v>-17.17</v>
      </c>
      <c r="AF9" s="27" t="n">
        <v>-17.17</v>
      </c>
      <c r="AG9" s="27" t="n">
        <v>-17.17</v>
      </c>
      <c r="AH9" s="27" t="n">
        <v>-17.17</v>
      </c>
      <c r="AI9" s="27" t="n">
        <v>-17.17</v>
      </c>
      <c r="AJ9" s="27" t="n">
        <v>-17.17</v>
      </c>
      <c r="AK9" s="27" t="n">
        <v>-17.17</v>
      </c>
      <c r="AL9" s="27" t="n">
        <v>-17.17</v>
      </c>
      <c r="AM9" s="27" t="n">
        <v>-17.17</v>
      </c>
      <c r="AN9" s="27" t="n">
        <v>-17.13</v>
      </c>
      <c r="AO9" s="20" t="n">
        <v>-206</v>
      </c>
      <c r="AP9" s="27" t="n">
        <v>-18</v>
      </c>
      <c r="AQ9" s="27" t="n">
        <v>-18</v>
      </c>
      <c r="AR9" s="27" t="n">
        <v>-18</v>
      </c>
      <c r="AS9" s="27" t="n">
        <v>-18</v>
      </c>
      <c r="AT9" s="27" t="n">
        <v>-18</v>
      </c>
      <c r="AU9" s="27" t="n">
        <v>-18</v>
      </c>
      <c r="AV9" s="27" t="n">
        <v>-18</v>
      </c>
      <c r="AW9" s="27" t="n">
        <v>-18</v>
      </c>
      <c r="AX9" s="27" t="n">
        <v>-18</v>
      </c>
      <c r="AY9" s="27" t="n">
        <v>-18</v>
      </c>
      <c r="AZ9" s="27" t="n">
        <v>-18</v>
      </c>
      <c r="BA9" s="27" t="n">
        <v>-18</v>
      </c>
      <c r="BB9" s="20" t="n">
        <v>-216</v>
      </c>
      <c r="BC9" s="27" t="n">
        <v>-18.75</v>
      </c>
      <c r="BD9" s="27" t="n">
        <v>-18.75</v>
      </c>
      <c r="BE9" s="27" t="n">
        <v>-18.75</v>
      </c>
      <c r="BF9" s="27" t="n">
        <v>-18.75</v>
      </c>
      <c r="BG9" s="27" t="n">
        <v>-18.75</v>
      </c>
      <c r="BH9" s="27" t="n">
        <v>-18.75</v>
      </c>
      <c r="BI9" s="27" t="n">
        <v>-18.75</v>
      </c>
      <c r="BJ9" s="27" t="n">
        <v>-18.75</v>
      </c>
      <c r="BK9" s="27" t="n">
        <v>-18.75</v>
      </c>
      <c r="BL9" s="27" t="n">
        <v>-18.75</v>
      </c>
      <c r="BM9" s="27" t="n">
        <v>-18.75</v>
      </c>
      <c r="BN9" s="27" t="n">
        <v>-18.75</v>
      </c>
      <c r="BO9" s="20" t="n">
        <v>-225</v>
      </c>
    </row>
    <row r="10">
      <c r="B10" s="6" t="inlineStr">
        <is>
          <t>地代家賃</t>
        </is>
      </c>
      <c r="C10" s="27" t="n">
        <v>-3.25</v>
      </c>
      <c r="D10" s="27" t="n">
        <v>-3.25</v>
      </c>
      <c r="E10" s="27" t="n">
        <v>-3.25</v>
      </c>
      <c r="F10" s="27" t="n">
        <v>-3.25</v>
      </c>
      <c r="G10" s="27" t="n">
        <v>-3.25</v>
      </c>
      <c r="H10" s="27" t="n">
        <v>-3.25</v>
      </c>
      <c r="I10" s="27" t="n">
        <v>-3.25</v>
      </c>
      <c r="J10" s="27" t="n">
        <v>-3.25</v>
      </c>
      <c r="K10" s="27" t="n">
        <v>-3.25</v>
      </c>
      <c r="L10" s="27" t="n">
        <v>-3.25</v>
      </c>
      <c r="M10" s="27" t="n">
        <v>-3.25</v>
      </c>
      <c r="N10" s="27" t="n">
        <v>-3.25</v>
      </c>
      <c r="O10" s="20" t="n">
        <v>-39</v>
      </c>
      <c r="P10" s="27" t="n">
        <v>-3.25</v>
      </c>
      <c r="Q10" s="27" t="n">
        <v>-3.25</v>
      </c>
      <c r="R10" s="27" t="n">
        <v>-3.25</v>
      </c>
      <c r="S10" s="27" t="n">
        <v>-3.25</v>
      </c>
      <c r="T10" s="27" t="n">
        <v>-3.25</v>
      </c>
      <c r="U10" s="27" t="n">
        <v>-3.25</v>
      </c>
      <c r="V10" s="27" t="n">
        <v>-3.25</v>
      </c>
      <c r="W10" s="27" t="n">
        <v>-3.25</v>
      </c>
      <c r="X10" s="27" t="n">
        <v>-3.25</v>
      </c>
      <c r="Y10" s="27" t="n">
        <v>-3.25</v>
      </c>
      <c r="Z10" s="27" t="n">
        <v>-3.25</v>
      </c>
      <c r="AA10" s="27" t="n">
        <v>-3.25</v>
      </c>
      <c r="AB10" s="20" t="n">
        <v>-39</v>
      </c>
      <c r="AC10" s="27" t="n">
        <v>-3.25</v>
      </c>
      <c r="AD10" s="27" t="n">
        <v>-3.25</v>
      </c>
      <c r="AE10" s="27" t="n">
        <v>-3.25</v>
      </c>
      <c r="AF10" s="27" t="n">
        <v>-3.25</v>
      </c>
      <c r="AG10" s="27" t="n">
        <v>-3.25</v>
      </c>
      <c r="AH10" s="27" t="n">
        <v>-3.25</v>
      </c>
      <c r="AI10" s="27" t="n">
        <v>-3.25</v>
      </c>
      <c r="AJ10" s="27" t="n">
        <v>-3.25</v>
      </c>
      <c r="AK10" s="27" t="n">
        <v>-3.25</v>
      </c>
      <c r="AL10" s="27" t="n">
        <v>-3.25</v>
      </c>
      <c r="AM10" s="27" t="n">
        <v>-3.25</v>
      </c>
      <c r="AN10" s="27" t="n">
        <v>-3.25</v>
      </c>
      <c r="AO10" s="20" t="n">
        <v>-39</v>
      </c>
      <c r="AP10" s="27" t="n">
        <v>-3.25</v>
      </c>
      <c r="AQ10" s="27" t="n">
        <v>-3.25</v>
      </c>
      <c r="AR10" s="27" t="n">
        <v>-3.25</v>
      </c>
      <c r="AS10" s="27" t="n">
        <v>-3.25</v>
      </c>
      <c r="AT10" s="27" t="n">
        <v>-3.25</v>
      </c>
      <c r="AU10" s="27" t="n">
        <v>-3.25</v>
      </c>
      <c r="AV10" s="27" t="n">
        <v>-3.25</v>
      </c>
      <c r="AW10" s="27" t="n">
        <v>-3.25</v>
      </c>
      <c r="AX10" s="27" t="n">
        <v>-3.25</v>
      </c>
      <c r="AY10" s="27" t="n">
        <v>-3.25</v>
      </c>
      <c r="AZ10" s="27" t="n">
        <v>-3.25</v>
      </c>
      <c r="BA10" s="27" t="n">
        <v>-3.25</v>
      </c>
      <c r="BB10" s="20" t="n">
        <v>-39</v>
      </c>
      <c r="BC10" s="27" t="n">
        <v>-3.25</v>
      </c>
      <c r="BD10" s="27" t="n">
        <v>-3.25</v>
      </c>
      <c r="BE10" s="27" t="n">
        <v>-3.25</v>
      </c>
      <c r="BF10" s="27" t="n">
        <v>-3.25</v>
      </c>
      <c r="BG10" s="27" t="n">
        <v>-3.25</v>
      </c>
      <c r="BH10" s="27" t="n">
        <v>-3.25</v>
      </c>
      <c r="BI10" s="27" t="n">
        <v>-3.25</v>
      </c>
      <c r="BJ10" s="27" t="n">
        <v>-3.25</v>
      </c>
      <c r="BK10" s="27" t="n">
        <v>-3.25</v>
      </c>
      <c r="BL10" s="27" t="n">
        <v>-3.25</v>
      </c>
      <c r="BM10" s="27" t="n">
        <v>-3.25</v>
      </c>
      <c r="BN10" s="27" t="n">
        <v>-3.25</v>
      </c>
      <c r="BO10" s="20" t="n">
        <v>-39</v>
      </c>
    </row>
    <row r="11">
      <c r="B11" s="6" t="inlineStr">
        <is>
          <t>その他営業費用</t>
        </is>
      </c>
      <c r="C11" s="27" t="n">
        <v>-4.27</v>
      </c>
      <c r="D11" s="27" t="n">
        <v>-4.59</v>
      </c>
      <c r="E11" s="27" t="n">
        <v>-4.92</v>
      </c>
      <c r="F11" s="27" t="n">
        <v>-5.09</v>
      </c>
      <c r="G11" s="27" t="n">
        <v>-5.17</v>
      </c>
      <c r="H11" s="27" t="n">
        <v>-5.01</v>
      </c>
      <c r="I11" s="27" t="n">
        <v>-4.84</v>
      </c>
      <c r="J11" s="27" t="n">
        <v>-5.09</v>
      </c>
      <c r="K11" s="27" t="n">
        <v>-5.5</v>
      </c>
      <c r="L11" s="27" t="n">
        <v>-5.91</v>
      </c>
      <c r="M11" s="27" t="n">
        <v>-6.64</v>
      </c>
      <c r="N11" s="27" t="n">
        <v>-6.97</v>
      </c>
      <c r="O11" s="20" t="n">
        <v>-64</v>
      </c>
      <c r="P11" s="27" t="n">
        <v>-7.64</v>
      </c>
      <c r="Q11" s="27" t="n">
        <v>-7.04</v>
      </c>
      <c r="R11" s="27" t="n">
        <v>-6.85</v>
      </c>
      <c r="S11" s="27" t="n">
        <v>-6.39</v>
      </c>
      <c r="T11" s="27" t="n">
        <v>-5.92</v>
      </c>
      <c r="U11" s="27" t="n">
        <v>-5.46</v>
      </c>
      <c r="V11" s="27" t="n">
        <v>-5</v>
      </c>
      <c r="W11" s="27" t="n">
        <v>-4.87</v>
      </c>
      <c r="X11" s="27" t="n">
        <v>-5.73</v>
      </c>
      <c r="Y11" s="27" t="n">
        <v>-6.58</v>
      </c>
      <c r="Z11" s="27" t="n">
        <v>-8.23</v>
      </c>
      <c r="AA11" s="27" t="n">
        <v>-9.289999999999999</v>
      </c>
      <c r="AB11" s="20" t="n">
        <v>-79</v>
      </c>
      <c r="AC11" s="27" t="n">
        <v>-7.35</v>
      </c>
      <c r="AD11" s="27" t="n">
        <v>-6.78</v>
      </c>
      <c r="AE11" s="27" t="n">
        <v>-6.59</v>
      </c>
      <c r="AF11" s="27" t="n">
        <v>-6.14</v>
      </c>
      <c r="AG11" s="27" t="n">
        <v>-5.7</v>
      </c>
      <c r="AH11" s="27" t="n">
        <v>-5.26</v>
      </c>
      <c r="AI11" s="27" t="n">
        <v>-4.81</v>
      </c>
      <c r="AJ11" s="27" t="n">
        <v>-4.69</v>
      </c>
      <c r="AK11" s="27" t="n">
        <v>-5.51</v>
      </c>
      <c r="AL11" s="27" t="n">
        <v>-6.33</v>
      </c>
      <c r="AM11" s="27" t="n">
        <v>-7.92</v>
      </c>
      <c r="AN11" s="27" t="n">
        <v>-8.92</v>
      </c>
      <c r="AO11" s="20" t="n">
        <v>-76</v>
      </c>
      <c r="AP11" s="27" t="n">
        <v>-6.57</v>
      </c>
      <c r="AQ11" s="27" t="n">
        <v>-6.06</v>
      </c>
      <c r="AR11" s="27" t="n">
        <v>-5.89</v>
      </c>
      <c r="AS11" s="27" t="n">
        <v>-5.5</v>
      </c>
      <c r="AT11" s="27" t="n">
        <v>-5.1</v>
      </c>
      <c r="AU11" s="27" t="n">
        <v>-4.7</v>
      </c>
      <c r="AV11" s="27" t="n">
        <v>-4.31</v>
      </c>
      <c r="AW11" s="27" t="n">
        <v>-4.19</v>
      </c>
      <c r="AX11" s="27" t="n">
        <v>-4.93</v>
      </c>
      <c r="AY11" s="27" t="n">
        <v>-5.67</v>
      </c>
      <c r="AZ11" s="27" t="n">
        <v>-7.08</v>
      </c>
      <c r="BA11" s="27" t="n">
        <v>-8</v>
      </c>
      <c r="BB11" s="20" t="n">
        <v>-68</v>
      </c>
      <c r="BC11" s="27" t="n">
        <v>-6.19</v>
      </c>
      <c r="BD11" s="27" t="n">
        <v>-5.71</v>
      </c>
      <c r="BE11" s="27" t="n">
        <v>-5.55</v>
      </c>
      <c r="BF11" s="27" t="n">
        <v>-5.17</v>
      </c>
      <c r="BG11" s="27" t="n">
        <v>-4.8</v>
      </c>
      <c r="BH11" s="27" t="n">
        <v>-4.43</v>
      </c>
      <c r="BI11" s="27" t="n">
        <v>-4.05</v>
      </c>
      <c r="BJ11" s="27" t="n">
        <v>-3.95</v>
      </c>
      <c r="BK11" s="27" t="n">
        <v>-4.64</v>
      </c>
      <c r="BL11" s="27" t="n">
        <v>-5.33</v>
      </c>
      <c r="BM11" s="27" t="n">
        <v>-6.67</v>
      </c>
      <c r="BN11" s="27" t="n">
        <v>-7.51</v>
      </c>
      <c r="BO11" s="20" t="n">
        <v>-64</v>
      </c>
    </row>
    <row r="12">
      <c r="B12" s="6" t="inlineStr">
        <is>
          <t>深夜ラウンジ運営費</t>
        </is>
      </c>
      <c r="C12" s="27" t="n">
        <v>-0.75</v>
      </c>
      <c r="D12" s="27" t="n">
        <v>-0.8100000000000001</v>
      </c>
      <c r="E12" s="27" t="n">
        <v>-0.87</v>
      </c>
      <c r="F12" s="27" t="n">
        <v>-0.9</v>
      </c>
      <c r="G12" s="27" t="n">
        <v>-0.91</v>
      </c>
      <c r="H12" s="27" t="n">
        <v>-0.88</v>
      </c>
      <c r="I12" s="27" t="n">
        <v>-0.85</v>
      </c>
      <c r="J12" s="27" t="n">
        <v>-0.9</v>
      </c>
      <c r="K12" s="27" t="n">
        <v>-0.97</v>
      </c>
      <c r="L12" s="27" t="n">
        <v>-1.04</v>
      </c>
      <c r="M12" s="27" t="n">
        <v>-1.17</v>
      </c>
      <c r="N12" s="27" t="n">
        <v>-1.25</v>
      </c>
      <c r="O12" s="20" t="n">
        <v>-11.3</v>
      </c>
      <c r="P12" s="27" t="n">
        <v>-1.13</v>
      </c>
      <c r="Q12" s="27" t="n">
        <v>-1.04</v>
      </c>
      <c r="R12" s="27" t="n">
        <v>-1.01</v>
      </c>
      <c r="S12" s="27" t="n">
        <v>-0.95</v>
      </c>
      <c r="T12" s="27" t="n">
        <v>-0.88</v>
      </c>
      <c r="U12" s="27" t="n">
        <v>-0.8100000000000001</v>
      </c>
      <c r="V12" s="27" t="n">
        <v>-0.74</v>
      </c>
      <c r="W12" s="27" t="n">
        <v>-0.72</v>
      </c>
      <c r="X12" s="27" t="n">
        <v>-0.85</v>
      </c>
      <c r="Y12" s="27" t="n">
        <v>-0.97</v>
      </c>
      <c r="Z12" s="27" t="n">
        <v>-1.22</v>
      </c>
      <c r="AA12" s="27" t="n">
        <v>-1.38</v>
      </c>
      <c r="AB12" s="20" t="n">
        <v>-11.7</v>
      </c>
      <c r="AC12" s="27" t="n">
        <v>-1.35</v>
      </c>
      <c r="AD12" s="27" t="n">
        <v>-1.25</v>
      </c>
      <c r="AE12" s="27" t="n">
        <v>-1.21</v>
      </c>
      <c r="AF12" s="27" t="n">
        <v>-1.13</v>
      </c>
      <c r="AG12" s="27" t="n">
        <v>-1.05</v>
      </c>
      <c r="AH12" s="27" t="n">
        <v>-0.97</v>
      </c>
      <c r="AI12" s="27" t="n">
        <v>-0.89</v>
      </c>
      <c r="AJ12" s="27" t="n">
        <v>-0.86</v>
      </c>
      <c r="AK12" s="27" t="n">
        <v>-1.01</v>
      </c>
      <c r="AL12" s="27" t="n">
        <v>-1.17</v>
      </c>
      <c r="AM12" s="27" t="n">
        <v>-1.46</v>
      </c>
      <c r="AN12" s="27" t="n">
        <v>-1.65</v>
      </c>
      <c r="AO12" s="20" t="n">
        <v>-14</v>
      </c>
      <c r="AP12" s="27" t="n">
        <v>-1.35</v>
      </c>
      <c r="AQ12" s="27" t="n">
        <v>-1.25</v>
      </c>
      <c r="AR12" s="27" t="n">
        <v>-1.21</v>
      </c>
      <c r="AS12" s="27" t="n">
        <v>-1.13</v>
      </c>
      <c r="AT12" s="27" t="n">
        <v>-1.05</v>
      </c>
      <c r="AU12" s="27" t="n">
        <v>-0.97</v>
      </c>
      <c r="AV12" s="27" t="n">
        <v>-0.89</v>
      </c>
      <c r="AW12" s="27" t="n">
        <v>-0.86</v>
      </c>
      <c r="AX12" s="27" t="n">
        <v>-1.01</v>
      </c>
      <c r="AY12" s="27" t="n">
        <v>-1.17</v>
      </c>
      <c r="AZ12" s="27" t="n">
        <v>-1.46</v>
      </c>
      <c r="BA12" s="27" t="n">
        <v>-1.65</v>
      </c>
      <c r="BB12" s="20" t="n">
        <v>-14</v>
      </c>
      <c r="BC12" s="27" t="n">
        <v>-1.35</v>
      </c>
      <c r="BD12" s="27" t="n">
        <v>-1.25</v>
      </c>
      <c r="BE12" s="27" t="n">
        <v>-1.21</v>
      </c>
      <c r="BF12" s="27" t="n">
        <v>-1.13</v>
      </c>
      <c r="BG12" s="27" t="n">
        <v>-1.05</v>
      </c>
      <c r="BH12" s="27" t="n">
        <v>-0.97</v>
      </c>
      <c r="BI12" s="27" t="n">
        <v>-0.89</v>
      </c>
      <c r="BJ12" s="27" t="n">
        <v>-0.86</v>
      </c>
      <c r="BK12" s="27" t="n">
        <v>-1.01</v>
      </c>
      <c r="BL12" s="27" t="n">
        <v>-1.17</v>
      </c>
      <c r="BM12" s="27" t="n">
        <v>-1.46</v>
      </c>
      <c r="BN12" s="27" t="n">
        <v>-1.65</v>
      </c>
      <c r="BO12" s="20" t="n">
        <v>-14</v>
      </c>
    </row>
    <row r="13">
      <c r="B13" s="6" t="inlineStr">
        <is>
          <t>減価償却費</t>
        </is>
      </c>
      <c r="C13" s="27" t="n">
        <v>-2.07</v>
      </c>
      <c r="D13" s="27" t="n">
        <v>-2.07</v>
      </c>
      <c r="E13" s="27" t="n">
        <v>-2.07</v>
      </c>
      <c r="F13" s="27" t="n">
        <v>-2.07</v>
      </c>
      <c r="G13" s="27" t="n">
        <v>-2.07</v>
      </c>
      <c r="H13" s="27" t="n">
        <v>-2.07</v>
      </c>
      <c r="I13" s="27" t="n">
        <v>-2.07</v>
      </c>
      <c r="J13" s="27" t="n">
        <v>-2.07</v>
      </c>
      <c r="K13" s="27" t="n">
        <v>-2.07</v>
      </c>
      <c r="L13" s="27" t="n">
        <v>-2.07</v>
      </c>
      <c r="M13" s="27" t="n">
        <v>-2.07</v>
      </c>
      <c r="N13" s="27" t="n">
        <v>-2.13</v>
      </c>
      <c r="O13" s="20" t="n">
        <v>-24.9</v>
      </c>
      <c r="P13" s="27" t="n">
        <v>-2.07</v>
      </c>
      <c r="Q13" s="27" t="n">
        <v>-2.07</v>
      </c>
      <c r="R13" s="27" t="n">
        <v>-2.07</v>
      </c>
      <c r="S13" s="27" t="n">
        <v>-2.07</v>
      </c>
      <c r="T13" s="27" t="n">
        <v>-2.07</v>
      </c>
      <c r="U13" s="27" t="n">
        <v>-2.07</v>
      </c>
      <c r="V13" s="27" t="n">
        <v>-2.07</v>
      </c>
      <c r="W13" s="27" t="n">
        <v>-2.07</v>
      </c>
      <c r="X13" s="27" t="n">
        <v>-2.07</v>
      </c>
      <c r="Y13" s="27" t="n">
        <v>-2.07</v>
      </c>
      <c r="Z13" s="27" t="n">
        <v>-2.07</v>
      </c>
      <c r="AA13" s="27" t="n">
        <v>-2.13</v>
      </c>
      <c r="AB13" s="20" t="n">
        <v>-24.9</v>
      </c>
      <c r="AC13" s="27" t="n">
        <v>-2.07</v>
      </c>
      <c r="AD13" s="27" t="n">
        <v>-2.07</v>
      </c>
      <c r="AE13" s="27" t="n">
        <v>-2.07</v>
      </c>
      <c r="AF13" s="27" t="n">
        <v>-2.07</v>
      </c>
      <c r="AG13" s="27" t="n">
        <v>-2.07</v>
      </c>
      <c r="AH13" s="27" t="n">
        <v>-2.07</v>
      </c>
      <c r="AI13" s="27" t="n">
        <v>-2.07</v>
      </c>
      <c r="AJ13" s="27" t="n">
        <v>-2.07</v>
      </c>
      <c r="AK13" s="27" t="n">
        <v>-2.07</v>
      </c>
      <c r="AL13" s="27" t="n">
        <v>-2.07</v>
      </c>
      <c r="AM13" s="27" t="n">
        <v>-2.07</v>
      </c>
      <c r="AN13" s="27" t="n">
        <v>-2.13</v>
      </c>
      <c r="AO13" s="20" t="n">
        <v>-24.9</v>
      </c>
      <c r="AP13" s="27" t="n">
        <v>-2.02</v>
      </c>
      <c r="AQ13" s="27" t="n">
        <v>-2.02</v>
      </c>
      <c r="AR13" s="27" t="n">
        <v>-2.02</v>
      </c>
      <c r="AS13" s="27" t="n">
        <v>-2.02</v>
      </c>
      <c r="AT13" s="27" t="n">
        <v>-2.02</v>
      </c>
      <c r="AU13" s="27" t="n">
        <v>-2.02</v>
      </c>
      <c r="AV13" s="27" t="n">
        <v>-2.02</v>
      </c>
      <c r="AW13" s="27" t="n">
        <v>-2.02</v>
      </c>
      <c r="AX13" s="27" t="n">
        <v>-2.02</v>
      </c>
      <c r="AY13" s="27" t="n">
        <v>-2.02</v>
      </c>
      <c r="AZ13" s="27" t="n">
        <v>-2.02</v>
      </c>
      <c r="BA13" s="27" t="n">
        <v>-1.98</v>
      </c>
      <c r="BB13" s="20" t="n">
        <v>-24.2</v>
      </c>
      <c r="BC13" s="27" t="n">
        <v>-2.02</v>
      </c>
      <c r="BD13" s="27" t="n">
        <v>-2.02</v>
      </c>
      <c r="BE13" s="27" t="n">
        <v>-2.02</v>
      </c>
      <c r="BF13" s="27" t="n">
        <v>-2.02</v>
      </c>
      <c r="BG13" s="27" t="n">
        <v>-2.02</v>
      </c>
      <c r="BH13" s="27" t="n">
        <v>-2.02</v>
      </c>
      <c r="BI13" s="27" t="n">
        <v>-2.02</v>
      </c>
      <c r="BJ13" s="27" t="n">
        <v>-2.02</v>
      </c>
      <c r="BK13" s="27" t="n">
        <v>-2.02</v>
      </c>
      <c r="BL13" s="27" t="n">
        <v>-2.02</v>
      </c>
      <c r="BM13" s="27" t="n">
        <v>-2.02</v>
      </c>
      <c r="BN13" s="27" t="n">
        <v>-1.98</v>
      </c>
      <c r="BO13" s="20" t="n">
        <v>-24.2</v>
      </c>
    </row>
    <row r="14">
      <c r="B14" s="19" t="inlineStr">
        <is>
          <t>営業利益(EBIT)</t>
        </is>
      </c>
      <c r="C14" s="20" t="n">
        <v>2.95</v>
      </c>
      <c r="D14" s="20" t="n">
        <v>4.76</v>
      </c>
      <c r="E14" s="20" t="n">
        <v>6.63</v>
      </c>
      <c r="F14" s="20" t="n">
        <v>7.56</v>
      </c>
      <c r="G14" s="20" t="n">
        <v>8.039999999999999</v>
      </c>
      <c r="H14" s="20" t="n">
        <v>7.1</v>
      </c>
      <c r="I14" s="20" t="n">
        <v>6.17</v>
      </c>
      <c r="J14" s="20" t="n">
        <v>7.56</v>
      </c>
      <c r="K14" s="20" t="n">
        <v>9.84</v>
      </c>
      <c r="L14" s="20" t="n">
        <v>12.18</v>
      </c>
      <c r="M14" s="20" t="n">
        <v>16.27</v>
      </c>
      <c r="N14" s="20" t="n">
        <v>18.04</v>
      </c>
      <c r="O14" s="20" t="n">
        <v>107.1</v>
      </c>
      <c r="P14" s="20" t="n">
        <v>18.73</v>
      </c>
      <c r="Q14" s="20" t="n">
        <v>15.59</v>
      </c>
      <c r="R14" s="20" t="n">
        <v>14.54</v>
      </c>
      <c r="S14" s="20" t="n">
        <v>12.08</v>
      </c>
      <c r="T14" s="20" t="n">
        <v>9.65</v>
      </c>
      <c r="U14" s="20" t="n">
        <v>7.2</v>
      </c>
      <c r="V14" s="20" t="n">
        <v>4.75</v>
      </c>
      <c r="W14" s="20" t="n">
        <v>4.05</v>
      </c>
      <c r="X14" s="20" t="n">
        <v>8.59</v>
      </c>
      <c r="Y14" s="20" t="n">
        <v>13.14</v>
      </c>
      <c r="Z14" s="20" t="n">
        <v>21.87</v>
      </c>
      <c r="AA14" s="20" t="n">
        <v>27.41</v>
      </c>
      <c r="AB14" s="20" t="n">
        <v>157.6</v>
      </c>
      <c r="AC14" s="20" t="n">
        <v>22.83</v>
      </c>
      <c r="AD14" s="20" t="n">
        <v>19.31</v>
      </c>
      <c r="AE14" s="20" t="n">
        <v>18.14</v>
      </c>
      <c r="AF14" s="20" t="n">
        <v>15.41</v>
      </c>
      <c r="AG14" s="20" t="n">
        <v>12.67</v>
      </c>
      <c r="AH14" s="20" t="n">
        <v>9.93</v>
      </c>
      <c r="AI14" s="20" t="n">
        <v>7.2</v>
      </c>
      <c r="AJ14" s="20" t="n">
        <v>6.42</v>
      </c>
      <c r="AK14" s="20" t="n">
        <v>11.51</v>
      </c>
      <c r="AL14" s="20" t="n">
        <v>16.58</v>
      </c>
      <c r="AM14" s="20" t="n">
        <v>26.34</v>
      </c>
      <c r="AN14" s="20" t="n">
        <v>32.56</v>
      </c>
      <c r="AO14" s="20" t="n">
        <v>198.9</v>
      </c>
      <c r="AP14" s="20" t="n">
        <v>24.65</v>
      </c>
      <c r="AQ14" s="20" t="n">
        <v>20.94</v>
      </c>
      <c r="AR14" s="20" t="n">
        <v>19.7</v>
      </c>
      <c r="AS14" s="20" t="n">
        <v>16.8</v>
      </c>
      <c r="AT14" s="20" t="n">
        <v>13.9</v>
      </c>
      <c r="AU14" s="20" t="n">
        <v>11.02</v>
      </c>
      <c r="AV14" s="20" t="n">
        <v>8.119999999999999</v>
      </c>
      <c r="AW14" s="20" t="n">
        <v>7.3</v>
      </c>
      <c r="AX14" s="20" t="n">
        <v>12.68</v>
      </c>
      <c r="AY14" s="20" t="n">
        <v>18.03</v>
      </c>
      <c r="AZ14" s="20" t="n">
        <v>28.37</v>
      </c>
      <c r="BA14" s="20" t="n">
        <v>34.99</v>
      </c>
      <c r="BB14" s="20" t="n">
        <v>216.5</v>
      </c>
      <c r="BC14" s="20" t="n">
        <v>25.49</v>
      </c>
      <c r="BD14" s="20" t="n">
        <v>21.64</v>
      </c>
      <c r="BE14" s="20" t="n">
        <v>20.36</v>
      </c>
      <c r="BF14" s="20" t="n">
        <v>17.38</v>
      </c>
      <c r="BG14" s="20" t="n">
        <v>14.38</v>
      </c>
      <c r="BH14" s="20" t="n">
        <v>11.39</v>
      </c>
      <c r="BI14" s="20" t="n">
        <v>8.41</v>
      </c>
      <c r="BJ14" s="20" t="n">
        <v>7.56</v>
      </c>
      <c r="BK14" s="20" t="n">
        <v>13.12</v>
      </c>
      <c r="BL14" s="20" t="n">
        <v>18.66</v>
      </c>
      <c r="BM14" s="20" t="n">
        <v>29.32</v>
      </c>
      <c r="BN14" s="20" t="n">
        <v>36.19</v>
      </c>
      <c r="BO14" s="20" t="n">
        <v>223.9</v>
      </c>
    </row>
    <row r="16">
      <c r="B16" s="15" t="inlineStr">
        <is>
          <t>資金繰り(月次・EBITDA / 借入返済 / 借入残高)</t>
        </is>
      </c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5" t="n"/>
      <c r="AA16" s="5" t="n"/>
      <c r="AB16" s="5" t="n"/>
      <c r="AC16" s="5" t="n"/>
      <c r="AD16" s="5" t="n"/>
      <c r="AE16" s="5" t="n"/>
      <c r="AF16" s="5" t="n"/>
      <c r="AG16" s="5" t="n"/>
      <c r="AH16" s="5" t="n"/>
      <c r="AI16" s="5" t="n"/>
      <c r="AJ16" s="5" t="n"/>
      <c r="AK16" s="5" t="n"/>
      <c r="AL16" s="5" t="n"/>
      <c r="AM16" s="5" t="n"/>
      <c r="AN16" s="5" t="n"/>
      <c r="AO16" s="5" t="n"/>
      <c r="AP16" s="5" t="n"/>
      <c r="AQ16" s="5" t="n"/>
      <c r="AR16" s="5" t="n"/>
      <c r="AS16" s="5" t="n"/>
      <c r="AT16" s="5" t="n"/>
      <c r="AU16" s="5" t="n"/>
      <c r="AV16" s="5" t="n"/>
      <c r="AW16" s="5" t="n"/>
      <c r="AX16" s="5" t="n"/>
      <c r="AY16" s="5" t="n"/>
      <c r="AZ16" s="5" t="n"/>
      <c r="BA16" s="5" t="n"/>
      <c r="BB16" s="5" t="n"/>
      <c r="BC16" s="5" t="n"/>
      <c r="BD16" s="5" t="n"/>
      <c r="BE16" s="5" t="n"/>
      <c r="BF16" s="5" t="n"/>
      <c r="BG16" s="5" t="n"/>
      <c r="BH16" s="5" t="n"/>
      <c r="BI16" s="5" t="n"/>
      <c r="BJ16" s="5" t="n"/>
      <c r="BK16" s="5" t="n"/>
      <c r="BL16" s="5" t="n"/>
      <c r="BM16" s="5" t="n"/>
      <c r="BN16" s="5" t="n"/>
      <c r="BO16" s="5" t="n"/>
    </row>
    <row r="17">
      <c r="B17" s="19" t="inlineStr">
        <is>
          <t>EBITDA(営業利益+減価償却)</t>
        </is>
      </c>
      <c r="C17" s="20" t="n">
        <v>5.02</v>
      </c>
      <c r="D17" s="20" t="n">
        <v>6.83</v>
      </c>
      <c r="E17" s="20" t="n">
        <v>8.699999999999999</v>
      </c>
      <c r="F17" s="20" t="n">
        <v>9.630000000000001</v>
      </c>
      <c r="G17" s="20" t="n">
        <v>10.11</v>
      </c>
      <c r="H17" s="20" t="n">
        <v>9.17</v>
      </c>
      <c r="I17" s="20" t="n">
        <v>8.24</v>
      </c>
      <c r="J17" s="20" t="n">
        <v>9.630000000000001</v>
      </c>
      <c r="K17" s="20" t="n">
        <v>11.91</v>
      </c>
      <c r="L17" s="20" t="n">
        <v>14.25</v>
      </c>
      <c r="M17" s="20" t="n">
        <v>18.34</v>
      </c>
      <c r="N17" s="20" t="n">
        <v>20.17</v>
      </c>
      <c r="O17" s="20" t="n">
        <v>132</v>
      </c>
      <c r="P17" s="20" t="n">
        <v>20.8</v>
      </c>
      <c r="Q17" s="20" t="n">
        <v>17.66</v>
      </c>
      <c r="R17" s="20" t="n">
        <v>16.61</v>
      </c>
      <c r="S17" s="20" t="n">
        <v>14.15</v>
      </c>
      <c r="T17" s="20" t="n">
        <v>11.72</v>
      </c>
      <c r="U17" s="20" t="n">
        <v>9.27</v>
      </c>
      <c r="V17" s="20" t="n">
        <v>6.82</v>
      </c>
      <c r="W17" s="20" t="n">
        <v>6.12</v>
      </c>
      <c r="X17" s="20" t="n">
        <v>10.66</v>
      </c>
      <c r="Y17" s="20" t="n">
        <v>15.21</v>
      </c>
      <c r="Z17" s="20" t="n">
        <v>23.94</v>
      </c>
      <c r="AA17" s="20" t="n">
        <v>29.54</v>
      </c>
      <c r="AB17" s="20" t="n">
        <v>182.5</v>
      </c>
      <c r="AC17" s="20" t="n">
        <v>24.9</v>
      </c>
      <c r="AD17" s="20" t="n">
        <v>21.38</v>
      </c>
      <c r="AE17" s="20" t="n">
        <v>20.21</v>
      </c>
      <c r="AF17" s="20" t="n">
        <v>17.48</v>
      </c>
      <c r="AG17" s="20" t="n">
        <v>14.74</v>
      </c>
      <c r="AH17" s="20" t="n">
        <v>12</v>
      </c>
      <c r="AI17" s="20" t="n">
        <v>9.27</v>
      </c>
      <c r="AJ17" s="20" t="n">
        <v>8.49</v>
      </c>
      <c r="AK17" s="20" t="n">
        <v>13.58</v>
      </c>
      <c r="AL17" s="20" t="n">
        <v>18.65</v>
      </c>
      <c r="AM17" s="20" t="n">
        <v>28.41</v>
      </c>
      <c r="AN17" s="20" t="n">
        <v>34.69</v>
      </c>
      <c r="AO17" s="20" t="n">
        <v>223.8</v>
      </c>
      <c r="AP17" s="20" t="n">
        <v>26.67</v>
      </c>
      <c r="AQ17" s="20" t="n">
        <v>22.96</v>
      </c>
      <c r="AR17" s="20" t="n">
        <v>21.72</v>
      </c>
      <c r="AS17" s="20" t="n">
        <v>18.82</v>
      </c>
      <c r="AT17" s="20" t="n">
        <v>15.92</v>
      </c>
      <c r="AU17" s="20" t="n">
        <v>13.04</v>
      </c>
      <c r="AV17" s="20" t="n">
        <v>10.14</v>
      </c>
      <c r="AW17" s="20" t="n">
        <v>9.32</v>
      </c>
      <c r="AX17" s="20" t="n">
        <v>14.7</v>
      </c>
      <c r="AY17" s="20" t="n">
        <v>20.05</v>
      </c>
      <c r="AZ17" s="20" t="n">
        <v>30.39</v>
      </c>
      <c r="BA17" s="20" t="n">
        <v>36.97</v>
      </c>
      <c r="BB17" s="20" t="n">
        <v>240.7</v>
      </c>
      <c r="BC17" s="20" t="n">
        <v>27.51</v>
      </c>
      <c r="BD17" s="20" t="n">
        <v>23.66</v>
      </c>
      <c r="BE17" s="20" t="n">
        <v>22.38</v>
      </c>
      <c r="BF17" s="20" t="n">
        <v>19.4</v>
      </c>
      <c r="BG17" s="20" t="n">
        <v>16.4</v>
      </c>
      <c r="BH17" s="20" t="n">
        <v>13.41</v>
      </c>
      <c r="BI17" s="20" t="n">
        <v>10.43</v>
      </c>
      <c r="BJ17" s="20" t="n">
        <v>9.58</v>
      </c>
      <c r="BK17" s="20" t="n">
        <v>15.14</v>
      </c>
      <c r="BL17" s="20" t="n">
        <v>20.68</v>
      </c>
      <c r="BM17" s="20" t="n">
        <v>31.34</v>
      </c>
      <c r="BN17" s="20" t="n">
        <v>38.17</v>
      </c>
      <c r="BO17" s="20" t="n">
        <v>248.1</v>
      </c>
    </row>
    <row r="18">
      <c r="B18" s="6" t="inlineStr">
        <is>
          <t>借入返済(開業後36か月・CF連動)</t>
        </is>
      </c>
      <c r="C18" s="27" t="n">
        <v>0</v>
      </c>
      <c r="D18" s="27" t="n">
        <v>0</v>
      </c>
      <c r="E18" s="27" t="n">
        <v>-7.3</v>
      </c>
      <c r="F18" s="27" t="n">
        <v>-7.3</v>
      </c>
      <c r="G18" s="27" t="n">
        <v>-7.3</v>
      </c>
      <c r="H18" s="27" t="n">
        <v>-7.3</v>
      </c>
      <c r="I18" s="27" t="n">
        <v>-7.3</v>
      </c>
      <c r="J18" s="27" t="n">
        <v>-7.3</v>
      </c>
      <c r="K18" s="27" t="n">
        <v>-7.3</v>
      </c>
      <c r="L18" s="27" t="n">
        <v>-7.3</v>
      </c>
      <c r="M18" s="27" t="n">
        <v>-7.3</v>
      </c>
      <c r="N18" s="27" t="n">
        <v>-7.3</v>
      </c>
      <c r="O18" s="20" t="n">
        <v>-73</v>
      </c>
      <c r="P18" s="27" t="n">
        <v>-7.92</v>
      </c>
      <c r="Q18" s="27" t="n">
        <v>-7.92</v>
      </c>
      <c r="R18" s="27" t="n">
        <v>-7.92</v>
      </c>
      <c r="S18" s="27" t="n">
        <v>-7.92</v>
      </c>
      <c r="T18" s="27" t="n">
        <v>-7.92</v>
      </c>
      <c r="U18" s="27" t="n">
        <v>-7.92</v>
      </c>
      <c r="V18" s="27" t="n">
        <v>-7.92</v>
      </c>
      <c r="W18" s="27" t="n">
        <v>-7.92</v>
      </c>
      <c r="X18" s="27" t="n">
        <v>-7.92</v>
      </c>
      <c r="Y18" s="27" t="n">
        <v>-7.92</v>
      </c>
      <c r="Z18" s="27" t="n">
        <v>-7.92</v>
      </c>
      <c r="AA18" s="27" t="n">
        <v>-7.88</v>
      </c>
      <c r="AB18" s="20" t="n">
        <v>-95</v>
      </c>
      <c r="AC18" s="27" t="n">
        <v>-12.67</v>
      </c>
      <c r="AD18" s="27" t="n">
        <v>-12.67</v>
      </c>
      <c r="AE18" s="27" t="n">
        <v>-12.67</v>
      </c>
      <c r="AF18" s="27" t="n">
        <v>-12.67</v>
      </c>
      <c r="AG18" s="27" t="n">
        <v>-12.67</v>
      </c>
      <c r="AH18" s="27" t="n">
        <v>-12.67</v>
      </c>
      <c r="AI18" s="27" t="n">
        <v>-12.67</v>
      </c>
      <c r="AJ18" s="27" t="n">
        <v>-12.67</v>
      </c>
      <c r="AK18" s="27" t="n">
        <v>-12.67</v>
      </c>
      <c r="AL18" s="27" t="n">
        <v>-12.67</v>
      </c>
      <c r="AM18" s="27" t="n">
        <v>-12.67</v>
      </c>
      <c r="AN18" s="27" t="n">
        <v>-12.63</v>
      </c>
      <c r="AO18" s="20" t="n">
        <v>-152</v>
      </c>
      <c r="AP18" s="27" t="n">
        <v>-0</v>
      </c>
      <c r="AQ18" s="27" t="n">
        <v>-0</v>
      </c>
      <c r="AR18" s="27" t="n">
        <v>-0</v>
      </c>
      <c r="AS18" s="27" t="n">
        <v>-0</v>
      </c>
      <c r="AT18" s="27" t="n">
        <v>-0</v>
      </c>
      <c r="AU18" s="27" t="n">
        <v>-0</v>
      </c>
      <c r="AV18" s="27" t="n">
        <v>-0</v>
      </c>
      <c r="AW18" s="27" t="n">
        <v>-0</v>
      </c>
      <c r="AX18" s="27" t="n">
        <v>-0</v>
      </c>
      <c r="AY18" s="27" t="n">
        <v>-0</v>
      </c>
      <c r="AZ18" s="27" t="n">
        <v>-0</v>
      </c>
      <c r="BA18" s="27" t="n">
        <v>-0</v>
      </c>
      <c r="BB18" s="20" t="n">
        <v>0</v>
      </c>
      <c r="BC18" s="27" t="n">
        <v>-0</v>
      </c>
      <c r="BD18" s="27" t="n">
        <v>-0</v>
      </c>
      <c r="BE18" s="27" t="n">
        <v>-0</v>
      </c>
      <c r="BF18" s="27" t="n">
        <v>-0</v>
      </c>
      <c r="BG18" s="27" t="n">
        <v>-0</v>
      </c>
      <c r="BH18" s="27" t="n">
        <v>-0</v>
      </c>
      <c r="BI18" s="27" t="n">
        <v>-0</v>
      </c>
      <c r="BJ18" s="27" t="n">
        <v>-0</v>
      </c>
      <c r="BK18" s="27" t="n">
        <v>-0</v>
      </c>
      <c r="BL18" s="27" t="n">
        <v>-0</v>
      </c>
      <c r="BM18" s="27" t="n">
        <v>-0</v>
      </c>
      <c r="BN18" s="27" t="n">
        <v>-0</v>
      </c>
      <c r="BO18" s="20" t="n">
        <v>0</v>
      </c>
    </row>
    <row r="19">
      <c r="B19" s="19" t="inlineStr">
        <is>
          <t>借入残高(期末)</t>
        </is>
      </c>
      <c r="C19" s="20" t="n">
        <v>320</v>
      </c>
      <c r="D19" s="20" t="n">
        <v>320</v>
      </c>
      <c r="E19" s="20" t="n">
        <v>312.7</v>
      </c>
      <c r="F19" s="20" t="n">
        <v>305.4</v>
      </c>
      <c r="G19" s="20" t="n">
        <v>298.1</v>
      </c>
      <c r="H19" s="20" t="n">
        <v>290.8</v>
      </c>
      <c r="I19" s="20" t="n">
        <v>283.5</v>
      </c>
      <c r="J19" s="20" t="n">
        <v>276.2</v>
      </c>
      <c r="K19" s="20" t="n">
        <v>268.9</v>
      </c>
      <c r="L19" s="20" t="n">
        <v>261.6</v>
      </c>
      <c r="M19" s="20" t="n">
        <v>254.3</v>
      </c>
      <c r="N19" s="20" t="n">
        <v>247</v>
      </c>
      <c r="O19" s="20" t="n">
        <v>247</v>
      </c>
      <c r="P19" s="20" t="n">
        <v>239.1</v>
      </c>
      <c r="Q19" s="20" t="n">
        <v>231.2</v>
      </c>
      <c r="R19" s="20" t="n">
        <v>223.2</v>
      </c>
      <c r="S19" s="20" t="n">
        <v>215.3</v>
      </c>
      <c r="T19" s="20" t="n">
        <v>207.4</v>
      </c>
      <c r="U19" s="20" t="n">
        <v>199.5</v>
      </c>
      <c r="V19" s="20" t="n">
        <v>191.6</v>
      </c>
      <c r="W19" s="20" t="n">
        <v>183.6</v>
      </c>
      <c r="X19" s="20" t="n">
        <v>175.7</v>
      </c>
      <c r="Y19" s="20" t="n">
        <v>167.8</v>
      </c>
      <c r="Z19" s="20" t="n">
        <v>159.9</v>
      </c>
      <c r="AA19" s="20" t="n">
        <v>152</v>
      </c>
      <c r="AB19" s="20" t="n">
        <v>152</v>
      </c>
      <c r="AC19" s="20" t="n">
        <v>139.3</v>
      </c>
      <c r="AD19" s="20" t="n">
        <v>126.7</v>
      </c>
      <c r="AE19" s="20" t="n">
        <v>114</v>
      </c>
      <c r="AF19" s="20" t="n">
        <v>101.3</v>
      </c>
      <c r="AG19" s="20" t="n">
        <v>88.7</v>
      </c>
      <c r="AH19" s="20" t="n">
        <v>76</v>
      </c>
      <c r="AI19" s="20" t="n">
        <v>63.3</v>
      </c>
      <c r="AJ19" s="20" t="n">
        <v>50.6</v>
      </c>
      <c r="AK19" s="20" t="n">
        <v>38</v>
      </c>
      <c r="AL19" s="20" t="n">
        <v>25.3</v>
      </c>
      <c r="AM19" s="20" t="n">
        <v>12.6</v>
      </c>
      <c r="AN19" s="20" t="n">
        <v>0</v>
      </c>
      <c r="AO19" s="20" t="n">
        <v>0</v>
      </c>
      <c r="AP19" s="20" t="n">
        <v>0</v>
      </c>
      <c r="AQ19" s="20" t="n">
        <v>0</v>
      </c>
      <c r="AR19" s="20" t="n">
        <v>0</v>
      </c>
      <c r="AS19" s="20" t="n">
        <v>0</v>
      </c>
      <c r="AT19" s="20" t="n">
        <v>0</v>
      </c>
      <c r="AU19" s="20" t="n">
        <v>0</v>
      </c>
      <c r="AV19" s="20" t="n">
        <v>0</v>
      </c>
      <c r="AW19" s="20" t="n">
        <v>0</v>
      </c>
      <c r="AX19" s="20" t="n">
        <v>0</v>
      </c>
      <c r="AY19" s="20" t="n">
        <v>0</v>
      </c>
      <c r="AZ19" s="20" t="n">
        <v>0</v>
      </c>
      <c r="BA19" s="20" t="n">
        <v>0</v>
      </c>
      <c r="BB19" s="20" t="n">
        <v>0</v>
      </c>
      <c r="BC19" s="20" t="n">
        <v>0</v>
      </c>
      <c r="BD19" s="20" t="n">
        <v>0</v>
      </c>
      <c r="BE19" s="20" t="n">
        <v>0</v>
      </c>
      <c r="BF19" s="20" t="n">
        <v>0</v>
      </c>
      <c r="BG19" s="20" t="n">
        <v>0</v>
      </c>
      <c r="BH19" s="20" t="n">
        <v>0</v>
      </c>
      <c r="BI19" s="20" t="n">
        <v>0</v>
      </c>
      <c r="BJ19" s="20" t="n">
        <v>0</v>
      </c>
      <c r="BK19" s="20" t="n">
        <v>0</v>
      </c>
      <c r="BL19" s="20" t="n">
        <v>0</v>
      </c>
      <c r="BM19" s="20" t="n">
        <v>0</v>
      </c>
      <c r="BN19" s="20" t="n">
        <v>0</v>
      </c>
      <c r="BO19" s="20" t="n">
        <v>0</v>
      </c>
    </row>
    <row r="21">
      <c r="B21" s="8" t="inlineStr">
        <is>
          <t>※ 各期『期計』列=年次計画と一致(売上 615/728/799/827/847・EBIT 107/158/199/216/224)。EBITDA(利益+減価償却)が毎月の返済を十分カバーし、借入¥320Mは第3期末で残高0=完済。税後の正確な現金残高は『CF・借入返済』『貸借対照表』参照。</t>
        </is>
      </c>
    </row>
    <row r="23">
      <c r="B23" s="35" t="inlineStr">
        <is>
          <t>支援資本¥320M 回収プラン(開業後36か月・CF連動)</t>
        </is>
      </c>
    </row>
    <row r="24">
      <c r="C24" s="36" t="inlineStr">
        <is>
          <t>期間</t>
        </is>
      </c>
      <c r="E24" s="36" t="inlineStr">
        <is>
          <t>返済回数</t>
        </is>
      </c>
      <c r="G24" s="36" t="inlineStr">
        <is>
          <t>月額(百万)</t>
        </is>
      </c>
      <c r="I24" s="36" t="inlineStr">
        <is>
          <t>期間返済(百万)</t>
        </is>
      </c>
      <c r="K24" s="36" t="inlineStr">
        <is>
          <t>期末残高(百万)</t>
        </is>
      </c>
    </row>
    <row r="25">
      <c r="C25" s="37" t="inlineStr">
        <is>
          <t>第1期 M3-12</t>
        </is>
      </c>
      <c r="D25" s="38" t="n"/>
      <c r="E25" s="37" t="inlineStr">
        <is>
          <t>10回</t>
        </is>
      </c>
      <c r="F25" s="38" t="n"/>
      <c r="G25" s="37" t="inlineStr">
        <is>
          <t>7.30</t>
        </is>
      </c>
      <c r="H25" s="38" t="n"/>
      <c r="I25" s="37" t="inlineStr">
        <is>
          <t>73</t>
        </is>
      </c>
      <c r="J25" s="38" t="n"/>
      <c r="K25" s="37" t="inlineStr">
        <is>
          <t>247</t>
        </is>
      </c>
      <c r="L25" s="38" t="n"/>
    </row>
    <row r="26">
      <c r="C26" s="37" t="inlineStr">
        <is>
          <t>第2期 M13-24</t>
        </is>
      </c>
      <c r="D26" s="38" t="n"/>
      <c r="E26" s="37" t="inlineStr">
        <is>
          <t>12回</t>
        </is>
      </c>
      <c r="F26" s="38" t="n"/>
      <c r="G26" s="37" t="inlineStr">
        <is>
          <t>7.92</t>
        </is>
      </c>
      <c r="H26" s="38" t="n"/>
      <c r="I26" s="37" t="inlineStr">
        <is>
          <t>95</t>
        </is>
      </c>
      <c r="J26" s="38" t="n"/>
      <c r="K26" s="37" t="inlineStr">
        <is>
          <t>152</t>
        </is>
      </c>
      <c r="L26" s="38" t="n"/>
    </row>
    <row r="27">
      <c r="C27" s="37" t="inlineStr">
        <is>
          <t>第3期 M25-36</t>
        </is>
      </c>
      <c r="D27" s="38" t="n"/>
      <c r="E27" s="37" t="inlineStr">
        <is>
          <t>12回</t>
        </is>
      </c>
      <c r="F27" s="38" t="n"/>
      <c r="G27" s="37" t="inlineStr">
        <is>
          <t>12.67</t>
        </is>
      </c>
      <c r="H27" s="38" t="n"/>
      <c r="I27" s="37" t="inlineStr">
        <is>
          <t>152</t>
        </is>
      </c>
      <c r="J27" s="38" t="n"/>
      <c r="K27" s="37" t="inlineStr">
        <is>
          <t>0(回収完了)</t>
        </is>
      </c>
      <c r="L27" s="38" t="n"/>
    </row>
    <row r="28">
      <c r="B28" s="8" t="inlineStr">
        <is>
          <t>※ 開業後36か月で支援資本¥320M(有利子・¥280M@1.5%+¥65M@2%)を全額回収。CF連動で毎月返済(金利は『資本構造』で計上)。</t>
        </is>
      </c>
    </row>
  </sheetData>
  <mergeCells count="31">
    <mergeCell ref="K25:L25"/>
    <mergeCell ref="C24:D24"/>
    <mergeCell ref="B16:BO16"/>
    <mergeCell ref="E24:F24"/>
    <mergeCell ref="K24:L24"/>
    <mergeCell ref="G27:H27"/>
    <mergeCell ref="I27:J27"/>
    <mergeCell ref="BC4:BO4"/>
    <mergeCell ref="C26:D26"/>
    <mergeCell ref="I26:J26"/>
    <mergeCell ref="K26:L26"/>
    <mergeCell ref="B21:BO21"/>
    <mergeCell ref="B2:BO2"/>
    <mergeCell ref="C25:D25"/>
    <mergeCell ref="I25:J25"/>
    <mergeCell ref="AP4:BB4"/>
    <mergeCell ref="P4:AB4"/>
    <mergeCell ref="B1:BO1"/>
    <mergeCell ref="G24:H24"/>
    <mergeCell ref="I24:J24"/>
    <mergeCell ref="C27:D27"/>
    <mergeCell ref="C4:O4"/>
    <mergeCell ref="E27:F27"/>
    <mergeCell ref="K27:L27"/>
    <mergeCell ref="B28:BO28"/>
    <mergeCell ref="E26:F26"/>
    <mergeCell ref="G26:H26"/>
    <mergeCell ref="B6:BO6"/>
    <mergeCell ref="E25:F25"/>
    <mergeCell ref="G25:H25"/>
    <mergeCell ref="AC4:AO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H24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32" customHeight="1">
      <c r="B1" s="1" t="inlineStr">
        <is>
          <t>貸借対照表 (BS)</t>
        </is>
      </c>
      <c r="C1" s="2" t="n"/>
      <c r="D1" s="2" t="n"/>
      <c r="E1" s="2" t="n"/>
      <c r="F1" s="2" t="n"/>
      <c r="G1" s="2" t="n"/>
    </row>
    <row r="2">
      <c r="B2" s="3" t="inlineStr">
        <is>
          <t>単位:百万円(¥M／例 600=¥6.0億)／各期末／資産=負債+純資産(貸借一致)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開業時</t>
        </is>
      </c>
      <c r="D4" s="14" t="inlineStr">
        <is>
          <t>第1期</t>
        </is>
      </c>
      <c r="E4" s="14" t="inlineStr">
        <is>
          <t>第2期</t>
        </is>
      </c>
      <c r="F4" s="14" t="inlineStr">
        <is>
          <t>第3期</t>
        </is>
      </c>
      <c r="G4" s="14" t="inlineStr">
        <is>
          <t>第4期</t>
        </is>
      </c>
      <c r="H4" s="14" t="inlineStr">
        <is>
          <t>第5期</t>
        </is>
      </c>
    </row>
    <row r="5">
      <c r="B5" s="15" t="inlineStr">
        <is>
          <t>資産の部</t>
        </is>
      </c>
      <c r="C5" s="16" t="n"/>
      <c r="D5" s="16" t="n"/>
      <c r="E5" s="16" t="n"/>
      <c r="F5" s="16" t="n"/>
      <c r="G5" s="16" t="n"/>
      <c r="H5" s="16" t="n"/>
    </row>
    <row r="6">
      <c r="B6" s="21" t="inlineStr">
        <is>
          <t>現金及び預金</t>
        </is>
      </c>
      <c r="C6" s="22">
        <f>'前提条件'!C38</f>
        <v/>
      </c>
      <c r="D6" s="22">
        <f>'CF・借入返済'!C17</f>
        <v/>
      </c>
      <c r="E6" s="22">
        <f>'CF・借入返済'!D17</f>
        <v/>
      </c>
      <c r="F6" s="22">
        <f>'CF・借入返済'!E17</f>
        <v/>
      </c>
      <c r="G6" s="22">
        <f>'CF・借入返済'!F17</f>
        <v/>
      </c>
      <c r="H6" s="22">
        <f>'CF・借入返済'!G17</f>
        <v/>
      </c>
    </row>
    <row r="7">
      <c r="B7" s="21" t="inlineStr">
        <is>
          <t>その他既存資産(貸付/未収/仮払税/創立費)</t>
        </is>
      </c>
      <c r="C7" s="22">
        <f>'前提条件'!$C$32</f>
        <v/>
      </c>
      <c r="D7" s="22">
        <f>'前提条件'!$C$32</f>
        <v/>
      </c>
      <c r="E7" s="22">
        <f>'前提条件'!$C$32</f>
        <v/>
      </c>
      <c r="F7" s="22">
        <f>'前提条件'!$C$32</f>
        <v/>
      </c>
      <c r="G7" s="22">
        <f>'前提条件'!$C$32</f>
        <v/>
      </c>
      <c r="H7" s="22">
        <f>'前提条件'!$C$32</f>
        <v/>
      </c>
    </row>
    <row r="8">
      <c r="B8" s="6" t="inlineStr">
        <is>
          <t>有形固定資産(build-out純額)</t>
        </is>
      </c>
      <c r="C8" s="27">
        <f>'前提条件'!C27</f>
        <v/>
      </c>
      <c r="D8" s="27">
        <f>'前提条件'!C27-SUM(損益計算書!$C$23:C23)*-1</f>
        <v/>
      </c>
      <c r="E8" s="27">
        <f>'前提条件'!C27-SUM(損益計算書!$C$23:D23)*-1</f>
        <v/>
      </c>
      <c r="F8" s="27">
        <f>'前提条件'!C27-SUM(損益計算書!$C$23:E23)*-1</f>
        <v/>
      </c>
      <c r="G8" s="27">
        <f>'前提条件'!C27-SUM(損益計算書!$C$23:F23)*-1</f>
        <v/>
      </c>
      <c r="H8" s="27">
        <f>'前提条件'!C27-SUM(損益計算書!$C$23:G23)*-1</f>
        <v/>
      </c>
    </row>
    <row r="9">
      <c r="B9" s="6" t="inlineStr">
        <is>
          <t>差入保証金</t>
        </is>
      </c>
      <c r="C9" s="27">
        <f>'前提条件'!$C$28</f>
        <v/>
      </c>
      <c r="D9" s="27">
        <f>'前提条件'!$C$28</f>
        <v/>
      </c>
      <c r="E9" s="27">
        <f>'前提条件'!$C$28</f>
        <v/>
      </c>
      <c r="F9" s="27">
        <f>'前提条件'!$C$28</f>
        <v/>
      </c>
      <c r="G9" s="27">
        <f>'前提条件'!$C$28</f>
        <v/>
      </c>
      <c r="H9" s="27">
        <f>'前提条件'!$C$28</f>
        <v/>
      </c>
    </row>
    <row r="10">
      <c r="B10" s="19" t="inlineStr">
        <is>
          <t>資産合計</t>
        </is>
      </c>
      <c r="C10" s="20">
        <f>SUM(C6:C9)</f>
        <v/>
      </c>
      <c r="D10" s="20">
        <f>SUM(D6:D9)</f>
        <v/>
      </c>
      <c r="E10" s="20">
        <f>SUM(E6:E9)</f>
        <v/>
      </c>
      <c r="F10" s="20">
        <f>SUM(F6:F9)</f>
        <v/>
      </c>
      <c r="G10" s="20">
        <f>SUM(G6:G9)</f>
        <v/>
      </c>
      <c r="H10" s="20">
        <f>SUM(H6:H9)</f>
        <v/>
      </c>
    </row>
    <row r="12">
      <c r="B12" s="15" t="inlineStr">
        <is>
          <t>負債の部</t>
        </is>
      </c>
      <c r="C12" s="16" t="n"/>
      <c r="D12" s="16" t="n"/>
      <c r="E12" s="16" t="n"/>
      <c r="F12" s="16" t="n"/>
      <c r="G12" s="16" t="n"/>
      <c r="H12" s="16" t="n"/>
    </row>
    <row r="13">
      <c r="B13" s="6" t="inlineStr">
        <is>
          <t>支援資本 借入金(有利子)</t>
        </is>
      </c>
      <c r="C13" s="27">
        <f>'前提条件'!C25</f>
        <v/>
      </c>
      <c r="D13" s="27">
        <f>'前提条件'!C25-SUM('前提条件'!$C$26:C26)</f>
        <v/>
      </c>
      <c r="E13" s="27">
        <f>'前提条件'!C25-SUM('前提条件'!$C$26:D26)</f>
        <v/>
      </c>
      <c r="F13" s="27">
        <f>'前提条件'!C25-SUM('前提条件'!$C$26:E26)</f>
        <v/>
      </c>
      <c r="G13" s="27">
        <f>'前提条件'!C25-SUM('前提条件'!$C$26:F26)</f>
        <v/>
      </c>
      <c r="H13" s="27">
        <f>'前提条件'!C25-SUM('前提条件'!$C$26:G26)</f>
        <v/>
      </c>
    </row>
    <row r="14">
      <c r="B14" s="21" t="inlineStr">
        <is>
          <t>役員借入金(既存)</t>
        </is>
      </c>
      <c r="C14" s="22">
        <f>'前提条件'!$C$33</f>
        <v/>
      </c>
      <c r="D14" s="22">
        <f>'前提条件'!$C$33</f>
        <v/>
      </c>
      <c r="E14" s="22">
        <f>'前提条件'!$C$33</f>
        <v/>
      </c>
      <c r="F14" s="22">
        <f>'前提条件'!$C$33</f>
        <v/>
      </c>
      <c r="G14" s="22">
        <f>'前提条件'!$C$33</f>
        <v/>
      </c>
      <c r="H14" s="22">
        <f>'前提条件'!$C$33</f>
        <v/>
      </c>
    </row>
    <row r="15">
      <c r="B15" s="21" t="inlineStr">
        <is>
          <t>その他既存負債</t>
        </is>
      </c>
      <c r="C15" s="22">
        <f>'前提条件'!$C$34</f>
        <v/>
      </c>
      <c r="D15" s="22">
        <f>'前提条件'!$C$34</f>
        <v/>
      </c>
      <c r="E15" s="22">
        <f>'前提条件'!$C$34</f>
        <v/>
      </c>
      <c r="F15" s="22">
        <f>'前提条件'!$C$34</f>
        <v/>
      </c>
      <c r="G15" s="22">
        <f>'前提条件'!$C$34</f>
        <v/>
      </c>
      <c r="H15" s="22">
        <f>'前提条件'!$C$34</f>
        <v/>
      </c>
    </row>
    <row r="16">
      <c r="B16" s="19" t="inlineStr">
        <is>
          <t>負債合計</t>
        </is>
      </c>
      <c r="C16" s="20">
        <f>SUM(C13:C15)</f>
        <v/>
      </c>
      <c r="D16" s="20">
        <f>SUM(D13:D15)</f>
        <v/>
      </c>
      <c r="E16" s="20">
        <f>SUM(E13:E15)</f>
        <v/>
      </c>
      <c r="F16" s="20">
        <f>SUM(F13:F15)</f>
        <v/>
      </c>
      <c r="G16" s="20">
        <f>SUM(G13:G15)</f>
        <v/>
      </c>
      <c r="H16" s="20">
        <f>SUM(H13:H15)</f>
        <v/>
      </c>
    </row>
    <row r="18">
      <c r="B18" s="15" t="inlineStr">
        <is>
          <t>純資産の部</t>
        </is>
      </c>
      <c r="C18" s="16" t="n"/>
      <c r="D18" s="16" t="n"/>
      <c r="E18" s="16" t="n"/>
      <c r="F18" s="16" t="n"/>
      <c r="G18" s="16" t="n"/>
      <c r="H18" s="16" t="n"/>
    </row>
    <row r="19">
      <c r="B19" s="21" t="inlineStr">
        <is>
          <t>資本金・資本剰余金(資本金90M+剰余金146.7M)</t>
        </is>
      </c>
      <c r="C19" s="22">
        <f>'前提条件'!$C$35</f>
        <v/>
      </c>
      <c r="D19" s="22">
        <f>'前提条件'!$C$35</f>
        <v/>
      </c>
      <c r="E19" s="22">
        <f>'前提条件'!$C$35</f>
        <v/>
      </c>
      <c r="F19" s="22">
        <f>'前提条件'!$C$35</f>
        <v/>
      </c>
      <c r="G19" s="22">
        <f>'前提条件'!$C$35</f>
        <v/>
      </c>
      <c r="H19" s="22">
        <f>'前提条件'!$C$35</f>
        <v/>
      </c>
    </row>
    <row r="20">
      <c r="B20" s="21" t="inlineStr">
        <is>
          <t>利益剰余金(累積赤字+累計利益)</t>
        </is>
      </c>
      <c r="C20" s="22">
        <f>'前提条件'!C36</f>
        <v/>
      </c>
      <c r="D20" s="22">
        <f>'前提条件'!C36+SUM(損益計算書!$C$32:C32)</f>
        <v/>
      </c>
      <c r="E20" s="22">
        <f>'前提条件'!C36+SUM(損益計算書!$C$32:D32)</f>
        <v/>
      </c>
      <c r="F20" s="22">
        <f>'前提条件'!C36+SUM(損益計算書!$C$32:E32)</f>
        <v/>
      </c>
      <c r="G20" s="22">
        <f>'前提条件'!C36+SUM(損益計算書!$C$32:F32)</f>
        <v/>
      </c>
      <c r="H20" s="22">
        <f>'前提条件'!C36+SUM(損益計算書!$C$32:G32)</f>
        <v/>
      </c>
    </row>
    <row r="21">
      <c r="B21" s="19" t="inlineStr">
        <is>
          <t>純資産合計</t>
        </is>
      </c>
      <c r="C21" s="20">
        <f>C19+C20</f>
        <v/>
      </c>
      <c r="D21" s="20">
        <f>D19+D20</f>
        <v/>
      </c>
      <c r="E21" s="20">
        <f>E19+E20</f>
        <v/>
      </c>
      <c r="F21" s="20">
        <f>F19+F20</f>
        <v/>
      </c>
      <c r="G21" s="20">
        <f>G19+G20</f>
        <v/>
      </c>
      <c r="H21" s="20">
        <f>H19+H20</f>
        <v/>
      </c>
    </row>
    <row r="22">
      <c r="B22" s="19" t="inlineStr">
        <is>
          <t>負債純資産合計</t>
        </is>
      </c>
      <c r="C22" s="20">
        <f>C16+C21</f>
        <v/>
      </c>
      <c r="D22" s="20">
        <f>D16+D21</f>
        <v/>
      </c>
      <c r="E22" s="20">
        <f>E16+E21</f>
        <v/>
      </c>
      <c r="F22" s="20">
        <f>F16+F21</f>
        <v/>
      </c>
      <c r="G22" s="20">
        <f>G16+G21</f>
        <v/>
      </c>
      <c r="H22" s="20">
        <f>H16+H21</f>
        <v/>
      </c>
    </row>
    <row r="24">
      <c r="B24" s="28" t="inlineStr">
        <is>
          <t>貸借一致チェック(資産−負債純資産)</t>
        </is>
      </c>
      <c r="C24" s="39">
        <f>C10-C22</f>
        <v/>
      </c>
      <c r="D24" s="39">
        <f>D10-D22</f>
        <v/>
      </c>
      <c r="E24" s="39">
        <f>E10-E22</f>
        <v/>
      </c>
      <c r="F24" s="39">
        <f>F10-F22</f>
        <v/>
      </c>
      <c r="G24" s="39">
        <f>G10-G22</f>
        <v/>
      </c>
      <c r="H24" s="39">
        <f>H10-H22</f>
        <v/>
      </c>
    </row>
  </sheetData>
  <mergeCells count="2">
    <mergeCell ref="B2:G2"/>
    <mergeCell ref="B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G2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 outlineLevelCol="0"/>
  <cols>
    <col width="2" customWidth="1" min="1" max="1"/>
    <col width="3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32" customHeight="1">
      <c r="B1" s="1" t="inlineStr">
        <is>
          <t>キャッシュ・フロー計算書 + 借入返済スケジュール</t>
        </is>
      </c>
      <c r="C1" s="2" t="n"/>
      <c r="D1" s="2" t="n"/>
      <c r="E1" s="2" t="n"/>
      <c r="F1" s="2" t="n"/>
      <c r="G1" s="2" t="n"/>
    </row>
    <row r="2">
      <c r="B2" s="3" t="inlineStr">
        <is>
          <t>単位:百万円(¥M／例 600=¥6.0億)／間接法／支援資本¥345M(有利子・開業後36か月でCF連動回収)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5" t="inlineStr">
        <is>
          <t>営業活動 CF</t>
        </is>
      </c>
      <c r="C5" s="16" t="n"/>
      <c r="D5" s="16" t="n"/>
      <c r="E5" s="16" t="n"/>
      <c r="F5" s="16" t="n"/>
      <c r="G5" s="16" t="n"/>
    </row>
    <row r="6">
      <c r="B6" s="21" t="inlineStr">
        <is>
          <t>当期純利益</t>
        </is>
      </c>
      <c r="C6" s="22">
        <f>損益計算書!C32</f>
        <v/>
      </c>
      <c r="D6" s="22">
        <f>損益計算書!D32</f>
        <v/>
      </c>
      <c r="E6" s="22">
        <f>損益計算書!E32</f>
        <v/>
      </c>
      <c r="F6" s="22">
        <f>損益計算書!F32</f>
        <v/>
      </c>
      <c r="G6" s="22">
        <f>損益計算書!G32</f>
        <v/>
      </c>
    </row>
    <row r="7">
      <c r="B7" s="21" t="inlineStr">
        <is>
          <t>減価償却費(非現金)</t>
        </is>
      </c>
      <c r="C7" s="22">
        <f>-損益計算書!C23</f>
        <v/>
      </c>
      <c r="D7" s="22">
        <f>-損益計算書!D23</f>
        <v/>
      </c>
      <c r="E7" s="22">
        <f>-損益計算書!E23</f>
        <v/>
      </c>
      <c r="F7" s="22">
        <f>-損益計算書!F23</f>
        <v/>
      </c>
      <c r="G7" s="22">
        <f>-損益計算書!G23</f>
        <v/>
      </c>
    </row>
    <row r="8">
      <c r="B8" s="19" t="inlineStr">
        <is>
          <t>営業活動CF 計</t>
        </is>
      </c>
      <c r="C8" s="20">
        <f>SUM(C6:C7)</f>
        <v/>
      </c>
      <c r="D8" s="20">
        <f>SUM(D6:D7)</f>
        <v/>
      </c>
      <c r="E8" s="20">
        <f>SUM(E6:E7)</f>
        <v/>
      </c>
      <c r="F8" s="20">
        <f>SUM(F6:F7)</f>
        <v/>
      </c>
      <c r="G8" s="20">
        <f>SUM(G6:G7)</f>
        <v/>
      </c>
    </row>
    <row r="9">
      <c r="B9" s="15" t="inlineStr">
        <is>
          <t>投資活動 CF</t>
        </is>
      </c>
      <c r="C9" s="16" t="n"/>
      <c r="D9" s="16" t="n"/>
      <c r="E9" s="16" t="n"/>
      <c r="F9" s="16" t="n"/>
      <c r="G9" s="16" t="n"/>
    </row>
    <row r="10">
      <c r="B10" s="6" t="inlineStr">
        <is>
          <t>設備投資(開業時)</t>
        </is>
      </c>
      <c r="C10" s="27" t="n">
        <v>0</v>
      </c>
      <c r="D10" s="27" t="n">
        <v>0</v>
      </c>
      <c r="E10" s="27" t="n">
        <v>0</v>
      </c>
      <c r="F10" s="27" t="n">
        <v>0</v>
      </c>
      <c r="G10" s="27" t="n">
        <v>0</v>
      </c>
    </row>
    <row r="11">
      <c r="B11" s="19" t="inlineStr">
        <is>
          <t>投資活動CF 計</t>
        </is>
      </c>
      <c r="C11" s="20">
        <f>C10</f>
        <v/>
      </c>
      <c r="D11" s="20">
        <f>D10</f>
        <v/>
      </c>
      <c r="E11" s="20">
        <f>E10</f>
        <v/>
      </c>
      <c r="F11" s="20">
        <f>F10</f>
        <v/>
      </c>
      <c r="G11" s="20">
        <f>G10</f>
        <v/>
      </c>
    </row>
    <row r="12">
      <c r="B12" s="15" t="inlineStr">
        <is>
          <t>財務活動 CF</t>
        </is>
      </c>
      <c r="C12" s="16" t="n"/>
      <c r="D12" s="16" t="n"/>
      <c r="E12" s="16" t="n"/>
      <c r="F12" s="16" t="n"/>
      <c r="G12" s="16" t="n"/>
    </row>
    <row r="13">
      <c r="B13" s="21" t="inlineStr">
        <is>
          <t>借入金 返済</t>
        </is>
      </c>
      <c r="C13" s="22">
        <f>-'前提条件'!C26</f>
        <v/>
      </c>
      <c r="D13" s="22">
        <f>-'前提条件'!D26</f>
        <v/>
      </c>
      <c r="E13" s="22">
        <f>-'前提条件'!E26</f>
        <v/>
      </c>
      <c r="F13" s="22">
        <f>-'前提条件'!F26</f>
        <v/>
      </c>
      <c r="G13" s="22">
        <f>-'前提条件'!G26</f>
        <v/>
      </c>
    </row>
    <row r="14">
      <c r="B14" s="19" t="inlineStr">
        <is>
          <t>財務活動CF 計</t>
        </is>
      </c>
      <c r="C14" s="20">
        <f>C13</f>
        <v/>
      </c>
      <c r="D14" s="20">
        <f>D13</f>
        <v/>
      </c>
      <c r="E14" s="20">
        <f>E13</f>
        <v/>
      </c>
      <c r="F14" s="20">
        <f>F13</f>
        <v/>
      </c>
      <c r="G14" s="20">
        <f>G13</f>
        <v/>
      </c>
    </row>
    <row r="15">
      <c r="B15" s="19" t="inlineStr">
        <is>
          <t>現金 増減</t>
        </is>
      </c>
      <c r="C15" s="20">
        <f>C8+C11+C14</f>
        <v/>
      </c>
      <c r="D15" s="20">
        <f>D8+D11+D14</f>
        <v/>
      </c>
      <c r="E15" s="20">
        <f>E8+E11+E14</f>
        <v/>
      </c>
      <c r="F15" s="20">
        <f>F8+F11+F14</f>
        <v/>
      </c>
      <c r="G15" s="20">
        <f>G8+G11+G14</f>
        <v/>
      </c>
    </row>
    <row r="16">
      <c r="B16" s="6" t="inlineStr">
        <is>
          <t>期首 現金残高</t>
        </is>
      </c>
      <c r="C16" s="27">
        <f>'前提条件'!C38</f>
        <v/>
      </c>
      <c r="D16" s="27">
        <f>C17</f>
        <v/>
      </c>
      <c r="E16" s="27">
        <f>D17</f>
        <v/>
      </c>
      <c r="F16" s="27">
        <f>E17</f>
        <v/>
      </c>
      <c r="G16" s="27">
        <f>F17</f>
        <v/>
      </c>
    </row>
    <row r="17">
      <c r="B17" s="19" t="inlineStr">
        <is>
          <t>期末 現金残高</t>
        </is>
      </c>
      <c r="C17" s="20">
        <f>C16+C15</f>
        <v/>
      </c>
      <c r="D17" s="20">
        <f>D16+D15</f>
        <v/>
      </c>
      <c r="E17" s="20">
        <f>E16+E15</f>
        <v/>
      </c>
      <c r="F17" s="20">
        <f>F16+F15</f>
        <v/>
      </c>
      <c r="G17" s="20">
        <f>G16+G15</f>
        <v/>
      </c>
    </row>
    <row r="19">
      <c r="B19" s="15" t="inlineStr">
        <is>
          <t>借入返済スケジュール(corkscrew)</t>
        </is>
      </c>
      <c r="C19" s="16" t="n"/>
      <c r="D19" s="16" t="n"/>
      <c r="E19" s="16" t="n"/>
      <c r="F19" s="16" t="n"/>
      <c r="G19" s="16" t="n"/>
    </row>
    <row r="20">
      <c r="B20" s="6" t="inlineStr">
        <is>
          <t>期首 借入残高</t>
        </is>
      </c>
      <c r="C20" s="27">
        <f>'前提条件'!C25</f>
        <v/>
      </c>
      <c r="D20" s="27">
        <f>C22</f>
        <v/>
      </c>
      <c r="E20" s="27">
        <f>D22</f>
        <v/>
      </c>
      <c r="F20" s="27">
        <f>E22</f>
        <v/>
      </c>
      <c r="G20" s="27">
        <f>F22</f>
        <v/>
      </c>
    </row>
    <row r="21">
      <c r="B21" s="6" t="inlineStr">
        <is>
          <t>返済(CF連動)</t>
        </is>
      </c>
      <c r="C21" s="27">
        <f>-'前提条件'!C26</f>
        <v/>
      </c>
      <c r="D21" s="27">
        <f>-'前提条件'!D26</f>
        <v/>
      </c>
      <c r="E21" s="27">
        <f>-'前提条件'!E26</f>
        <v/>
      </c>
      <c r="F21" s="27">
        <f>-'前提条件'!F26</f>
        <v/>
      </c>
      <c r="G21" s="27">
        <f>-'前提条件'!G26</f>
        <v/>
      </c>
    </row>
    <row r="22">
      <c r="B22" s="19" t="inlineStr">
        <is>
          <t>期末 借入残高</t>
        </is>
      </c>
      <c r="C22" s="20">
        <f>C20+C21</f>
        <v/>
      </c>
      <c r="D22" s="20">
        <f>D20+D21</f>
        <v/>
      </c>
      <c r="E22" s="20">
        <f>E20+E21</f>
        <v/>
      </c>
      <c r="F22" s="20">
        <f>F20+F21</f>
        <v/>
      </c>
      <c r="G22" s="20">
        <f>G20+G21</f>
        <v/>
      </c>
    </row>
    <row r="23">
      <c r="B23" s="8" t="inlineStr">
        <is>
          <t>※ 店BS計上分¥320M(有利子)を第1-3期で全額回収(返済 第1期73/第2期95/第3期152)=開業後36か月で全額回収。Partner拠出元本¥345Mの資本構造(¥280M@1.5%+¥65M@2%)・金利は『資本構造』参照。月次明細は『月次(全5期)』。</t>
        </is>
      </c>
    </row>
    <row r="25">
      <c r="B25" s="15" t="inlineStr">
        <is>
          <t>消費税(税抜モデル=パススルー・参考)</t>
        </is>
      </c>
      <c r="C25" s="16" t="n"/>
      <c r="D25" s="16" t="n"/>
      <c r="E25" s="16" t="n"/>
      <c r="F25" s="16" t="n"/>
      <c r="G25" s="16" t="n"/>
    </row>
    <row r="26">
      <c r="B26" s="6" t="inlineStr">
        <is>
          <t>預り消費税(売上×10%)</t>
        </is>
      </c>
      <c r="C26" s="27" t="n">
        <v>61.5</v>
      </c>
      <c r="D26" s="27" t="n">
        <v>72.8</v>
      </c>
      <c r="E26" s="27" t="n">
        <v>79.90000000000001</v>
      </c>
      <c r="F26" s="27" t="n">
        <v>82.7</v>
      </c>
      <c r="G26" s="27" t="n">
        <v>84.7</v>
      </c>
    </row>
    <row r="27">
      <c r="B27" s="6" t="inlineStr">
        <is>
          <t>仮払消費税(課税仕入×10%・食材/賃料/諸経費・第1期は設備¥250M含む)</t>
        </is>
      </c>
      <c r="C27" s="27" t="n">
        <v>-52.1</v>
      </c>
      <c r="D27" s="27" t="n">
        <v>-32</v>
      </c>
      <c r="E27" s="27" t="n">
        <v>-34</v>
      </c>
      <c r="F27" s="27" t="n">
        <v>-34.3</v>
      </c>
      <c r="G27" s="27" t="n">
        <v>-34.8</v>
      </c>
    </row>
    <row r="28">
      <c r="B28" s="19" t="inlineStr">
        <is>
          <t>差引 消費税 納付額</t>
        </is>
      </c>
      <c r="C28" s="20" t="n">
        <v>9.4</v>
      </c>
      <c r="D28" s="20" t="n">
        <v>40.8</v>
      </c>
      <c r="E28" s="20" t="n">
        <v>45.9</v>
      </c>
      <c r="F28" s="20" t="n">
        <v>48.4</v>
      </c>
      <c r="G28" s="20" t="n">
        <v>49.9</v>
      </c>
    </row>
    <row r="29">
      <c r="B29" s="8" t="inlineStr">
        <is>
          <t>※ 消費税は顧客から預かり納付するパススルー=年間ネットでは営業現金を圧迫せず返済能力に影響なし。第1期は内装¥250Mの仮払分(¥25.0M)で納付が圧縮(資金繰りメリット)。本モデルのP&amp;L/CF/BSは全て税抜。</t>
        </is>
      </c>
    </row>
  </sheetData>
  <mergeCells count="4">
    <mergeCell ref="B2:G2"/>
    <mergeCell ref="B29:G29"/>
    <mergeCell ref="B23:G23"/>
    <mergeCell ref="B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1:S30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22" customWidth="1" min="2" max="2"/>
    <col width="8.199999999999999" customWidth="1" min="3" max="3"/>
    <col width="8.199999999999999" customWidth="1" min="4" max="4"/>
    <col width="8.199999999999999" customWidth="1" min="5" max="5"/>
    <col width="8.199999999999999" customWidth="1" min="6" max="6"/>
    <col width="8.199999999999999" customWidth="1" min="7" max="7"/>
    <col width="8.199999999999999" customWidth="1" min="8" max="8"/>
    <col width="8.199999999999999" customWidth="1" min="9" max="9"/>
    <col width="8.199999999999999" customWidth="1" min="10" max="10"/>
    <col width="8.199999999999999" customWidth="1" min="11" max="11"/>
    <col width="8.199999999999999" customWidth="1" min="12" max="12"/>
    <col width="8.199999999999999" customWidth="1" min="13" max="13"/>
    <col width="8.199999999999999" customWidth="1" min="14" max="14"/>
    <col width="8.199999999999999" customWidth="1" min="15" max="15"/>
  </cols>
  <sheetData>
    <row r="1" ht="32" customHeight="1">
      <c r="B1" s="1" t="inlineStr">
        <is>
          <t>売上ビルド — 月次 × メニュー別(第1期・ボトムアップ)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B2" s="3" t="inlineStr">
        <is>
          <t>単位:百万円(¥M／例 600=¥6.0億)／青=入力・黒=式・緑=参照／FAST準拠(driver→covers→メニュー別売上)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4">
      <c r="B4" s="13" t="inlineStr">
        <is>
          <t>科目</t>
        </is>
      </c>
      <c r="C4" s="14" t="inlineStr">
        <is>
          <t>1月</t>
        </is>
      </c>
      <c r="D4" s="14" t="inlineStr">
        <is>
          <t>2月</t>
        </is>
      </c>
      <c r="E4" s="14" t="inlineStr">
        <is>
          <t>3月</t>
        </is>
      </c>
      <c r="F4" s="14" t="inlineStr">
        <is>
          <t>4月</t>
        </is>
      </c>
      <c r="G4" s="14" t="inlineStr">
        <is>
          <t>5月</t>
        </is>
      </c>
      <c r="H4" s="14" t="inlineStr">
        <is>
          <t>6月</t>
        </is>
      </c>
      <c r="I4" s="14" t="inlineStr">
        <is>
          <t>7月</t>
        </is>
      </c>
      <c r="J4" s="14" t="inlineStr">
        <is>
          <t>8月</t>
        </is>
      </c>
      <c r="K4" s="14" t="inlineStr">
        <is>
          <t>9月</t>
        </is>
      </c>
      <c r="L4" s="14" t="inlineStr">
        <is>
          <t>10月</t>
        </is>
      </c>
      <c r="M4" s="14" t="inlineStr">
        <is>
          <t>11月</t>
        </is>
      </c>
      <c r="N4" s="14" t="inlineStr">
        <is>
          <t>12月</t>
        </is>
      </c>
      <c r="O4" s="36" t="inlineStr">
        <is>
          <t>通期</t>
        </is>
      </c>
    </row>
    <row r="5">
      <c r="B5" s="15" t="inlineStr">
        <is>
          <t>前提(青=入力)</t>
        </is>
      </c>
      <c r="C5" s="16" t="n"/>
      <c r="D5" s="16" t="n"/>
      <c r="E5" s="16" t="n"/>
      <c r="F5" s="16" t="n"/>
      <c r="G5" s="16" t="n"/>
      <c r="Q5" s="40" t="inlineStr">
        <is>
          <t>コース</t>
        </is>
      </c>
      <c r="R5" s="40" t="inlineStr">
        <is>
          <t>構成比</t>
        </is>
      </c>
      <c r="S5" s="40" t="inlineStr">
        <is>
          <t>単価¥K</t>
        </is>
      </c>
    </row>
    <row r="6">
      <c r="B6" s="11" t="inlineStr">
        <is>
          <t>床席数 / 個室席数</t>
        </is>
      </c>
      <c r="C6" s="41" t="n">
        <v>34</v>
      </c>
      <c r="D6" s="41" t="n">
        <v>14</v>
      </c>
      <c r="Q6" s="11" t="inlineStr">
        <is>
          <t>THE KING</t>
        </is>
      </c>
      <c r="R6" s="23" t="n">
        <v>0.58</v>
      </c>
      <c r="S6" s="41" t="n">
        <v>29</v>
      </c>
    </row>
    <row r="7">
      <c r="B7" s="11" t="inlineStr">
        <is>
          <t>回転 / 営業日(月)</t>
        </is>
      </c>
      <c r="C7" s="42" t="n">
        <v>1.25</v>
      </c>
      <c r="D7" s="43" t="n">
        <v>26.83</v>
      </c>
      <c r="Q7" s="11" t="inlineStr">
        <is>
          <t>SPECTACLE</t>
        </is>
      </c>
      <c r="R7" s="23" t="n">
        <v>0.3</v>
      </c>
      <c r="S7" s="41" t="n">
        <v>42</v>
      </c>
    </row>
    <row r="8">
      <c r="Q8" s="11" t="inlineStr">
        <is>
          <t>EMPEROR</t>
        </is>
      </c>
      <c r="R8" s="23" t="n">
        <v>0.12</v>
      </c>
      <c r="S8" s="41" t="n">
        <v>57</v>
      </c>
    </row>
    <row r="9">
      <c r="B9" s="15" t="inlineStr">
        <is>
          <t>稼働・客数</t>
        </is>
      </c>
      <c r="C9" s="16" t="n"/>
      <c r="D9" s="16" t="n"/>
      <c r="E9" s="16" t="n"/>
      <c r="F9" s="16" t="n"/>
      <c r="G9" s="16" t="n"/>
    </row>
    <row r="10">
      <c r="B10" s="11" t="inlineStr">
        <is>
          <t>季節性指数(冬peak)</t>
        </is>
      </c>
      <c r="C10" s="42" t="n">
        <v>1.16</v>
      </c>
      <c r="D10" s="42" t="n">
        <v>1.07</v>
      </c>
      <c r="E10" s="42" t="n">
        <v>1.04</v>
      </c>
      <c r="F10" s="42" t="n">
        <v>0.97</v>
      </c>
      <c r="G10" s="42" t="n">
        <v>0.9</v>
      </c>
      <c r="H10" s="42" t="n">
        <v>0.83</v>
      </c>
      <c r="I10" s="42" t="n">
        <v>0.76</v>
      </c>
      <c r="J10" s="42" t="n">
        <v>0.74</v>
      </c>
      <c r="K10" s="42" t="n">
        <v>0.87</v>
      </c>
      <c r="L10" s="42" t="n">
        <v>1</v>
      </c>
      <c r="M10" s="42" t="n">
        <v>1.25</v>
      </c>
      <c r="N10" s="42" t="n">
        <v>1.41</v>
      </c>
    </row>
    <row r="11">
      <c r="B11" s="11" t="inlineStr">
        <is>
          <t>床稼働率(月次)</t>
        </is>
      </c>
      <c r="C11" s="23" t="n">
        <v>0.52</v>
      </c>
      <c r="D11" s="23" t="n">
        <v>0.5600000000000001</v>
      </c>
      <c r="E11" s="23" t="n">
        <v>0.6</v>
      </c>
      <c r="F11" s="23" t="n">
        <v>0.62</v>
      </c>
      <c r="G11" s="23" t="n">
        <v>0.63</v>
      </c>
      <c r="H11" s="23" t="n">
        <v>0.61</v>
      </c>
      <c r="I11" s="23" t="n">
        <v>0.59</v>
      </c>
      <c r="J11" s="23" t="n">
        <v>0.62</v>
      </c>
      <c r="K11" s="23" t="n">
        <v>0.67</v>
      </c>
      <c r="L11" s="23" t="n">
        <v>0.72</v>
      </c>
      <c r="M11" s="23" t="n">
        <v>0.8100000000000001</v>
      </c>
      <c r="N11" s="23" t="n">
        <v>0.85</v>
      </c>
      <c r="Q11" s="11" t="inlineStr">
        <is>
          <t>床付帯 ¥/カバー(百万)</t>
        </is>
      </c>
      <c r="S11" s="44" t="n">
        <v>0.02058</v>
      </c>
    </row>
    <row r="12">
      <c r="B12" s="11" t="inlineStr">
        <is>
          <t>床カバー数(=席×稼働×回転×日)</t>
        </is>
      </c>
      <c r="C12" s="45">
        <f>$C$6*C11*$C$7*$D$7</f>
        <v/>
      </c>
      <c r="D12" s="45">
        <f>$C$6*D11*$C$7*$D$7</f>
        <v/>
      </c>
      <c r="E12" s="45">
        <f>$C$6*E11*$C$7*$D$7</f>
        <v/>
      </c>
      <c r="F12" s="45">
        <f>$C$6*F11*$C$7*$D$7</f>
        <v/>
      </c>
      <c r="G12" s="45">
        <f>$C$6*G11*$C$7*$D$7</f>
        <v/>
      </c>
      <c r="H12" s="45">
        <f>$C$6*H11*$C$7*$D$7</f>
        <v/>
      </c>
      <c r="I12" s="45">
        <f>$C$6*I11*$C$7*$D$7</f>
        <v/>
      </c>
      <c r="J12" s="45">
        <f>$C$6*J11*$C$7*$D$7</f>
        <v/>
      </c>
      <c r="K12" s="45">
        <f>$C$6*K11*$C$7*$D$7</f>
        <v/>
      </c>
      <c r="L12" s="45">
        <f>$C$6*L11*$C$7*$D$7</f>
        <v/>
      </c>
      <c r="M12" s="45">
        <f>$C$6*M11*$C$7*$D$7</f>
        <v/>
      </c>
      <c r="N12" s="45">
        <f>$C$6*N11*$C$7*$D$7</f>
        <v/>
      </c>
      <c r="O12" s="45">
        <f>SUM(C12:N12)</f>
        <v/>
      </c>
    </row>
    <row r="14">
      <c r="B14" s="15" t="inlineStr">
        <is>
          <t>メニュー別 売上(百万円)</t>
        </is>
      </c>
      <c r="C14" s="16" t="n"/>
      <c r="D14" s="16" t="n"/>
      <c r="E14" s="16" t="n"/>
      <c r="F14" s="16" t="n"/>
      <c r="G14" s="16" t="n"/>
    </row>
    <row r="15">
      <c r="B15" s="11" t="inlineStr">
        <is>
          <t>THE KING(¥29K)</t>
        </is>
      </c>
      <c r="C15" s="27">
        <f>C12*$R$6*$S$6/1000</f>
        <v/>
      </c>
      <c r="D15" s="27">
        <f>D12*$R$6*$S$6/1000</f>
        <v/>
      </c>
      <c r="E15" s="27">
        <f>E12*$R$6*$S$6/1000</f>
        <v/>
      </c>
      <c r="F15" s="27">
        <f>F12*$R$6*$S$6/1000</f>
        <v/>
      </c>
      <c r="G15" s="27">
        <f>G12*$R$6*$S$6/1000</f>
        <v/>
      </c>
      <c r="H15" s="27">
        <f>H12*$R$6*$S$6/1000</f>
        <v/>
      </c>
      <c r="I15" s="27">
        <f>I12*$R$6*$S$6/1000</f>
        <v/>
      </c>
      <c r="J15" s="27">
        <f>J12*$R$6*$S$6/1000</f>
        <v/>
      </c>
      <c r="K15" s="27">
        <f>K12*$R$6*$S$6/1000</f>
        <v/>
      </c>
      <c r="L15" s="27">
        <f>L12*$R$6*$S$6/1000</f>
        <v/>
      </c>
      <c r="M15" s="27">
        <f>M12*$R$6*$S$6/1000</f>
        <v/>
      </c>
      <c r="N15" s="27">
        <f>N12*$R$6*$S$6/1000</f>
        <v/>
      </c>
      <c r="O15" s="27">
        <f>SUM(C15:N15)</f>
        <v/>
      </c>
    </row>
    <row r="16">
      <c r="B16" s="11" t="inlineStr">
        <is>
          <t>SPECTACLE(¥42K)</t>
        </is>
      </c>
      <c r="C16" s="27">
        <f>C12*$R$7*$S$7/1000</f>
        <v/>
      </c>
      <c r="D16" s="27">
        <f>D12*$R$7*$S$7/1000</f>
        <v/>
      </c>
      <c r="E16" s="27">
        <f>E12*$R$7*$S$7/1000</f>
        <v/>
      </c>
      <c r="F16" s="27">
        <f>F12*$R$7*$S$7/1000</f>
        <v/>
      </c>
      <c r="G16" s="27">
        <f>G12*$R$7*$S$7/1000</f>
        <v/>
      </c>
      <c r="H16" s="27">
        <f>H12*$R$7*$S$7/1000</f>
        <v/>
      </c>
      <c r="I16" s="27">
        <f>I12*$R$7*$S$7/1000</f>
        <v/>
      </c>
      <c r="J16" s="27">
        <f>J12*$R$7*$S$7/1000</f>
        <v/>
      </c>
      <c r="K16" s="27">
        <f>K12*$R$7*$S$7/1000</f>
        <v/>
      </c>
      <c r="L16" s="27">
        <f>L12*$R$7*$S$7/1000</f>
        <v/>
      </c>
      <c r="M16" s="27">
        <f>M12*$R$7*$S$7/1000</f>
        <v/>
      </c>
      <c r="N16" s="27">
        <f>N12*$R$7*$S$7/1000</f>
        <v/>
      </c>
      <c r="O16" s="27">
        <f>SUM(C16:N16)</f>
        <v/>
      </c>
    </row>
    <row r="17">
      <c r="B17" s="11" t="inlineStr">
        <is>
          <t>EMPEROR(¥57K)</t>
        </is>
      </c>
      <c r="C17" s="27">
        <f>C12*$R$8*$S$8/1000</f>
        <v/>
      </c>
      <c r="D17" s="27">
        <f>D12*$R$8*$S$8/1000</f>
        <v/>
      </c>
      <c r="E17" s="27">
        <f>E12*$R$8*$S$8/1000</f>
        <v/>
      </c>
      <c r="F17" s="27">
        <f>F12*$R$8*$S$8/1000</f>
        <v/>
      </c>
      <c r="G17" s="27">
        <f>G12*$R$8*$S$8/1000</f>
        <v/>
      </c>
      <c r="H17" s="27">
        <f>H12*$R$8*$S$8/1000</f>
        <v/>
      </c>
      <c r="I17" s="27">
        <f>I12*$R$8*$S$8/1000</f>
        <v/>
      </c>
      <c r="J17" s="27">
        <f>J12*$R$8*$S$8/1000</f>
        <v/>
      </c>
      <c r="K17" s="27">
        <f>K12*$R$8*$S$8/1000</f>
        <v/>
      </c>
      <c r="L17" s="27">
        <f>L12*$R$8*$S$8/1000</f>
        <v/>
      </c>
      <c r="M17" s="27">
        <f>M12*$R$8*$S$8/1000</f>
        <v/>
      </c>
      <c r="N17" s="27">
        <f>N12*$R$8*$S$8/1000</f>
        <v/>
      </c>
      <c r="O17" s="27">
        <f>SUM(C17:N17)</f>
        <v/>
      </c>
    </row>
    <row r="19">
      <c r="B19" s="46" t="inlineStr">
        <is>
          <t>コース料理 小計</t>
        </is>
      </c>
      <c r="C19" s="47">
        <f>SUM(C15:C17)</f>
        <v/>
      </c>
      <c r="D19" s="47">
        <f>SUM(D15:D17)</f>
        <v/>
      </c>
      <c r="E19" s="47">
        <f>SUM(E15:E17)</f>
        <v/>
      </c>
      <c r="F19" s="47">
        <f>SUM(F15:F17)</f>
        <v/>
      </c>
      <c r="G19" s="47">
        <f>SUM(G15:G17)</f>
        <v/>
      </c>
      <c r="H19" s="47">
        <f>SUM(H15:H17)</f>
        <v/>
      </c>
      <c r="I19" s="47">
        <f>SUM(I15:I17)</f>
        <v/>
      </c>
      <c r="J19" s="47">
        <f>SUM(J15:J17)</f>
        <v/>
      </c>
      <c r="K19" s="47">
        <f>SUM(K15:K17)</f>
        <v/>
      </c>
      <c r="L19" s="47">
        <f>SUM(L15:L17)</f>
        <v/>
      </c>
      <c r="M19" s="47">
        <f>SUM(M15:M17)</f>
        <v/>
      </c>
      <c r="N19" s="47">
        <f>SUM(N15:N17)</f>
        <v/>
      </c>
      <c r="O19" s="47">
        <f>SUM(C19:N19)</f>
        <v/>
      </c>
    </row>
    <row r="20">
      <c r="B20" s="11" t="inlineStr">
        <is>
          <t>ドリンク(全卓) (60%)</t>
        </is>
      </c>
      <c r="C20" s="27">
        <f>C12*$S$11*0.6</f>
        <v/>
      </c>
      <c r="D20" s="27">
        <f>D12*$S$11*0.6</f>
        <v/>
      </c>
      <c r="E20" s="27">
        <f>E12*$S$11*0.6</f>
        <v/>
      </c>
      <c r="F20" s="27">
        <f>F12*$S$11*0.6</f>
        <v/>
      </c>
      <c r="G20" s="27">
        <f>G12*$S$11*0.6</f>
        <v/>
      </c>
      <c r="H20" s="27">
        <f>H12*$S$11*0.6</f>
        <v/>
      </c>
      <c r="I20" s="27">
        <f>I12*$S$11*0.6</f>
        <v/>
      </c>
      <c r="J20" s="27">
        <f>J12*$S$11*0.6</f>
        <v/>
      </c>
      <c r="K20" s="27">
        <f>K12*$S$11*0.6</f>
        <v/>
      </c>
      <c r="L20" s="27">
        <f>L12*$S$11*0.6</f>
        <v/>
      </c>
      <c r="M20" s="27">
        <f>M12*$S$11*0.6</f>
        <v/>
      </c>
      <c r="N20" s="27">
        <f>N12*$S$11*0.6</f>
        <v/>
      </c>
      <c r="O20" s="27">
        <f>SUM(C20:N20)</f>
        <v/>
      </c>
    </row>
    <row r="21">
      <c r="B21" s="11" t="inlineStr">
        <is>
          <t>重量課金タラバ (35%)</t>
        </is>
      </c>
      <c r="C21" s="27">
        <f>C12*$S$11*0.35</f>
        <v/>
      </c>
      <c r="D21" s="27">
        <f>D12*$S$11*0.35</f>
        <v/>
      </c>
      <c r="E21" s="27">
        <f>E12*$S$11*0.35</f>
        <v/>
      </c>
      <c r="F21" s="27">
        <f>F12*$S$11*0.35</f>
        <v/>
      </c>
      <c r="G21" s="27">
        <f>G12*$S$11*0.35</f>
        <v/>
      </c>
      <c r="H21" s="27">
        <f>H12*$S$11*0.35</f>
        <v/>
      </c>
      <c r="I21" s="27">
        <f>I12*$S$11*0.35</f>
        <v/>
      </c>
      <c r="J21" s="27">
        <f>J12*$S$11*0.35</f>
        <v/>
      </c>
      <c r="K21" s="27">
        <f>K12*$S$11*0.35</f>
        <v/>
      </c>
      <c r="L21" s="27">
        <f>L12*$S$11*0.35</f>
        <v/>
      </c>
      <c r="M21" s="27">
        <f>M12*$S$11*0.35</f>
        <v/>
      </c>
      <c r="N21" s="27">
        <f>N12*$S$11*0.35</f>
        <v/>
      </c>
      <c r="O21" s="27">
        <f>SUM(C21:N21)</f>
        <v/>
      </c>
    </row>
    <row r="22">
      <c r="B22" s="11" t="inlineStr">
        <is>
          <t>生バー (5%)</t>
        </is>
      </c>
      <c r="C22" s="27">
        <f>C12*$S$11*0.05</f>
        <v/>
      </c>
      <c r="D22" s="27">
        <f>D12*$S$11*0.05</f>
        <v/>
      </c>
      <c r="E22" s="27">
        <f>E12*$S$11*0.05</f>
        <v/>
      </c>
      <c r="F22" s="27">
        <f>F12*$S$11*0.05</f>
        <v/>
      </c>
      <c r="G22" s="27">
        <f>G12*$S$11*0.05</f>
        <v/>
      </c>
      <c r="H22" s="27">
        <f>H12*$S$11*0.05</f>
        <v/>
      </c>
      <c r="I22" s="27">
        <f>I12*$S$11*0.05</f>
        <v/>
      </c>
      <c r="J22" s="27">
        <f>J12*$S$11*0.05</f>
        <v/>
      </c>
      <c r="K22" s="27">
        <f>K12*$S$11*0.05</f>
        <v/>
      </c>
      <c r="L22" s="27">
        <f>L12*$S$11*0.05</f>
        <v/>
      </c>
      <c r="M22" s="27">
        <f>M12*$S$11*0.05</f>
        <v/>
      </c>
      <c r="N22" s="27">
        <f>N12*$S$11*0.05</f>
        <v/>
      </c>
      <c r="O22" s="27">
        <f>SUM(C22:N22)</f>
        <v/>
      </c>
    </row>
    <row r="23">
      <c r="B23" s="11" t="inlineStr">
        <is>
          <t>個室料(個室料のみ・料理は床に内包)</t>
        </is>
      </c>
      <c r="C23" s="27">
        <f>10.5*1.16/12.00</f>
        <v/>
      </c>
      <c r="D23" s="27">
        <f>10.5*1.07/12.00</f>
        <v/>
      </c>
      <c r="E23" s="27">
        <f>10.5*1.04/12.00</f>
        <v/>
      </c>
      <c r="F23" s="27">
        <f>10.5*0.97/12.00</f>
        <v/>
      </c>
      <c r="G23" s="27">
        <f>10.5*0.9/12.00</f>
        <v/>
      </c>
      <c r="H23" s="27">
        <f>10.5*0.83/12.00</f>
        <v/>
      </c>
      <c r="I23" s="27">
        <f>10.5*0.76/12.00</f>
        <v/>
      </c>
      <c r="J23" s="27">
        <f>10.5*0.74/12.00</f>
        <v/>
      </c>
      <c r="K23" s="27">
        <f>10.5*0.87/12.00</f>
        <v/>
      </c>
      <c r="L23" s="27">
        <f>10.5*1.0/12.00</f>
        <v/>
      </c>
      <c r="M23" s="27">
        <f>10.5*1.25/12.00</f>
        <v/>
      </c>
      <c r="N23" s="27">
        <f>10.5*1.41/12.00</f>
        <v/>
      </c>
      <c r="O23" s="27">
        <f>SUM(C23:N23)</f>
        <v/>
      </c>
    </row>
    <row r="24">
      <c r="B24" s="11" t="inlineStr">
        <is>
          <t>バー(待ち/ウォークイン)</t>
        </is>
      </c>
      <c r="C24" s="27">
        <f>13.3*1.16/12.00</f>
        <v/>
      </c>
      <c r="D24" s="27">
        <f>13.3*1.07/12.00</f>
        <v/>
      </c>
      <c r="E24" s="27">
        <f>13.3*1.04/12.00</f>
        <v/>
      </c>
      <c r="F24" s="27">
        <f>13.3*0.97/12.00</f>
        <v/>
      </c>
      <c r="G24" s="27">
        <f>13.3*0.9/12.00</f>
        <v/>
      </c>
      <c r="H24" s="27">
        <f>13.3*0.83/12.00</f>
        <v/>
      </c>
      <c r="I24" s="27">
        <f>13.3*0.76/12.00</f>
        <v/>
      </c>
      <c r="J24" s="27">
        <f>13.3*0.74/12.00</f>
        <v/>
      </c>
      <c r="K24" s="27">
        <f>13.3*0.87/12.00</f>
        <v/>
      </c>
      <c r="L24" s="27">
        <f>13.3*1.0/12.00</f>
        <v/>
      </c>
      <c r="M24" s="27">
        <f>13.3*1.25/12.00</f>
        <v/>
      </c>
      <c r="N24" s="27">
        <f>13.3*1.41/12.00</f>
        <v/>
      </c>
      <c r="O24" s="27">
        <f>SUM(C24:N24)</f>
        <v/>
      </c>
    </row>
    <row r="25">
      <c r="B25" s="11" t="inlineStr">
        <is>
          <t>深夜ラウンジ(23:00–1:30)</t>
        </is>
      </c>
      <c r="C25" s="27">
        <f>33.8*1.16/12.00</f>
        <v/>
      </c>
      <c r="D25" s="27">
        <f>33.8*1.07/12.00</f>
        <v/>
      </c>
      <c r="E25" s="27">
        <f>33.8*1.04/12.00</f>
        <v/>
      </c>
      <c r="F25" s="27">
        <f>33.8*0.97/12.00</f>
        <v/>
      </c>
      <c r="G25" s="27">
        <f>33.8*0.9/12.00</f>
        <v/>
      </c>
      <c r="H25" s="27">
        <f>33.8*0.83/12.00</f>
        <v/>
      </c>
      <c r="I25" s="27">
        <f>33.8*0.76/12.00</f>
        <v/>
      </c>
      <c r="J25" s="27">
        <f>33.8*0.74/12.00</f>
        <v/>
      </c>
      <c r="K25" s="27">
        <f>33.8*0.87/12.00</f>
        <v/>
      </c>
      <c r="L25" s="27">
        <f>33.8*1.0/12.00</f>
        <v/>
      </c>
      <c r="M25" s="27">
        <f>33.8*1.25/12.00</f>
        <v/>
      </c>
      <c r="N25" s="27">
        <f>33.8*1.41/12.00</f>
        <v/>
      </c>
      <c r="O25" s="27">
        <f>SUM(C25:N25)</f>
        <v/>
      </c>
    </row>
    <row r="26">
      <c r="B26" s="11" t="inlineStr">
        <is>
          <t>サービス料(10%・原価ゼロ)</t>
        </is>
      </c>
      <c r="C26" s="27">
        <f>(C19+SUM(C20:C22)+C23)*0.1</f>
        <v/>
      </c>
      <c r="D26" s="27">
        <f>(D19+SUM(D20:D22)+D23)*0.1</f>
        <v/>
      </c>
      <c r="E26" s="27">
        <f>(E19+SUM(E20:E22)+E23)*0.1</f>
        <v/>
      </c>
      <c r="F26" s="27">
        <f>(F19+SUM(F20:F22)+F23)*0.1</f>
        <v/>
      </c>
      <c r="G26" s="27">
        <f>(G19+SUM(G20:G22)+G23)*0.1</f>
        <v/>
      </c>
      <c r="H26" s="27">
        <f>(H19+SUM(H20:H22)+H23)*0.1</f>
        <v/>
      </c>
      <c r="I26" s="27">
        <f>(I19+SUM(I20:I22)+I23)*0.1</f>
        <v/>
      </c>
      <c r="J26" s="27">
        <f>(J19+SUM(J20:J22)+J23)*0.1</f>
        <v/>
      </c>
      <c r="K26" s="27">
        <f>(K19+SUM(K20:K22)+K23)*0.1</f>
        <v/>
      </c>
      <c r="L26" s="27">
        <f>(L19+SUM(L20:L22)+L23)*0.1</f>
        <v/>
      </c>
      <c r="M26" s="27">
        <f>(M19+SUM(M20:M22)+M23)*0.1</f>
        <v/>
      </c>
      <c r="N26" s="27">
        <f>(N19+SUM(N20:N22)+N23)*0.1</f>
        <v/>
      </c>
      <c r="O26" s="27">
        <f>SUM(C26:N26)</f>
        <v/>
      </c>
    </row>
    <row r="27">
      <c r="B27" s="48" t="inlineStr">
        <is>
          <t>売上高合計(月次)</t>
        </is>
      </c>
      <c r="C27" s="20">
        <f>C19+SUM(C20:C22)+C23+C26+C24+C25</f>
        <v/>
      </c>
      <c r="D27" s="20">
        <f>D19+SUM(D20:D22)+D23+D26+D24+D25</f>
        <v/>
      </c>
      <c r="E27" s="20">
        <f>E19+SUM(E20:E22)+E23+E26+E24+E25</f>
        <v/>
      </c>
      <c r="F27" s="20">
        <f>F19+SUM(F20:F22)+F23+F26+F24+F25</f>
        <v/>
      </c>
      <c r="G27" s="20">
        <f>G19+SUM(G20:G22)+G23+G26+G24+G25</f>
        <v/>
      </c>
      <c r="H27" s="20">
        <f>H19+SUM(H20:H22)+H23+H26+H24+H25</f>
        <v/>
      </c>
      <c r="I27" s="20">
        <f>I19+SUM(I20:I22)+I23+I26+I24+I25</f>
        <v/>
      </c>
      <c r="J27" s="20">
        <f>J19+SUM(J20:J22)+J23+J26+J24+J25</f>
        <v/>
      </c>
      <c r="K27" s="20">
        <f>K19+SUM(K20:K22)+K23+K26+K24+K25</f>
        <v/>
      </c>
      <c r="L27" s="20">
        <f>L19+SUM(L20:L22)+L23+L26+L24+L25</f>
        <v/>
      </c>
      <c r="M27" s="20">
        <f>M19+SUM(M20:M22)+M23+M26+M24+M25</f>
        <v/>
      </c>
      <c r="N27" s="20">
        <f>N19+SUM(N20:N22)+N23+N26+N24+N25</f>
        <v/>
      </c>
      <c r="O27" s="20">
        <f>SUM(C27:N27)</f>
        <v/>
      </c>
    </row>
    <row r="29">
      <c r="B29" s="8" t="inlineStr">
        <is>
          <t>※ 通期O列=第1期P&amp;L売上高合計(ダイニング+バー+深夜ラウンジ)とtie(Checks)。月次は季節性(カニ冬peak)×開業ランプ。第2-5期は年次(FAST:appropriate)。</t>
        </is>
      </c>
    </row>
    <row r="30">
      <c r="B30" s="8" t="inlineStr">
        <is>
          <t>※ 床付帯のライン内訳(ドリンク/重量課金タラバ/生バー)は例示のボトムアップ・バスケット(床残差を構成比で配分)であり、P&amp;Lとは『床合計』でのみtieする。各ラインの料理/飲料の境界(例: ドリンク行≠『前提条件』飲料売上)は当シートでは確定せず、サイトの注文バスケットで照合する。当シートは床合計→月次配分の妥当性提示が目的。</t>
        </is>
      </c>
    </row>
  </sheetData>
  <mergeCells count="4">
    <mergeCell ref="B1:O1"/>
    <mergeCell ref="B30:O30"/>
    <mergeCell ref="B2:O2"/>
    <mergeCell ref="B29:O29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1:S38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22" customWidth="1" min="2" max="2"/>
    <col width="6" customWidth="1" min="3" max="3"/>
    <col width="7" customWidth="1" min="4" max="4"/>
    <col width="6" customWidth="1" min="5" max="5"/>
    <col width="5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</cols>
  <sheetData>
    <row r="1" ht="32" customHeight="1">
      <c r="B1" s="1" t="inlineStr">
        <is>
          <t>人員スケジュール — 1人=1行 × 月次(入社月・月給・社保込)</t>
        </is>
      </c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</row>
    <row r="2">
      <c r="B2" s="3" t="inlineStr">
        <is>
          <t>第1期／青=入力(月給/入社月/FTE)・黒=式／『何人がいつから』が監査可能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</row>
    <row r="4">
      <c r="B4" s="14" t="inlineStr">
        <is>
          <t>役割</t>
        </is>
      </c>
      <c r="C4" s="14" t="inlineStr">
        <is>
          <t>部門</t>
        </is>
      </c>
      <c r="D4" s="14" t="inlineStr">
        <is>
          <t>月給(万)</t>
        </is>
      </c>
      <c r="E4" s="14" t="inlineStr">
        <is>
          <t>入社月</t>
        </is>
      </c>
      <c r="F4" s="14" t="inlineStr">
        <is>
          <t>FTE</t>
        </is>
      </c>
      <c r="G4" s="14" t="inlineStr">
        <is>
          <t>1月</t>
        </is>
      </c>
      <c r="H4" s="14" t="inlineStr">
        <is>
          <t>2月</t>
        </is>
      </c>
      <c r="I4" s="14" t="inlineStr">
        <is>
          <t>3月</t>
        </is>
      </c>
      <c r="J4" s="14" t="inlineStr">
        <is>
          <t>4月</t>
        </is>
      </c>
      <c r="K4" s="14" t="inlineStr">
        <is>
          <t>5月</t>
        </is>
      </c>
      <c r="L4" s="14" t="inlineStr">
        <is>
          <t>6月</t>
        </is>
      </c>
      <c r="M4" s="14" t="inlineStr">
        <is>
          <t>7月</t>
        </is>
      </c>
      <c r="N4" s="14" t="inlineStr">
        <is>
          <t>8月</t>
        </is>
      </c>
      <c r="O4" s="14" t="inlineStr">
        <is>
          <t>9月</t>
        </is>
      </c>
      <c r="P4" s="14" t="inlineStr">
        <is>
          <t>10月</t>
        </is>
      </c>
      <c r="Q4" s="14" t="inlineStr">
        <is>
          <t>11月</t>
        </is>
      </c>
      <c r="R4" s="14" t="inlineStr">
        <is>
          <t>12月</t>
        </is>
      </c>
      <c r="S4" s="14" t="inlineStr">
        <is>
          <t>年額(百万)</t>
        </is>
      </c>
    </row>
    <row r="5">
      <c r="B5" s="11" t="inlineStr">
        <is>
          <t>総料理長 兼 解体長</t>
        </is>
      </c>
      <c r="C5" s="49" t="inlineStr">
        <is>
          <t>BOH</t>
        </is>
      </c>
      <c r="D5" s="41" t="n">
        <v>96</v>
      </c>
      <c r="E5" s="50" t="n">
        <v>1</v>
      </c>
      <c r="F5" s="43" t="n">
        <v>1</v>
      </c>
      <c r="G5" s="30">
        <f>$D5*$F5*IF(1&gt;=$E5,1,0)*(1+0.17)/100</f>
        <v/>
      </c>
      <c r="H5" s="30">
        <f>$D5*$F5*IF(2&gt;=$E5,1,0)*(1+0.17)/100</f>
        <v/>
      </c>
      <c r="I5" s="30">
        <f>$D5*$F5*IF(3&gt;=$E5,1,0)*(1+0.17)/100</f>
        <v/>
      </c>
      <c r="J5" s="30">
        <f>$D5*$F5*IF(4&gt;=$E5,1,0)*(1+0.17)/100</f>
        <v/>
      </c>
      <c r="K5" s="30">
        <f>$D5*$F5*IF(5&gt;=$E5,1,0)*(1+0.17)/100</f>
        <v/>
      </c>
      <c r="L5" s="30">
        <f>$D5*$F5*IF(6&gt;=$E5,1,0)*(1+0.17)/100</f>
        <v/>
      </c>
      <c r="M5" s="30">
        <f>$D5*$F5*IF(7&gt;=$E5,1,0)*(1+0.17)/100</f>
        <v/>
      </c>
      <c r="N5" s="30">
        <f>$D5*$F5*IF(8&gt;=$E5,1,0)*(1+0.17)/100</f>
        <v/>
      </c>
      <c r="O5" s="30">
        <f>$D5*$F5*IF(9&gt;=$E5,1,0)*(1+0.17)/100</f>
        <v/>
      </c>
      <c r="P5" s="30">
        <f>$D5*$F5*IF(10&gt;=$E5,1,0)*(1+0.17)/100</f>
        <v/>
      </c>
      <c r="Q5" s="30">
        <f>$D5*$F5*IF(11&gt;=$E5,1,0)*(1+0.17)/100</f>
        <v/>
      </c>
      <c r="R5" s="30">
        <f>$D5*$F5*IF(12&gt;=$E5,1,0)*(1+0.17)/100</f>
        <v/>
      </c>
      <c r="S5" s="47">
        <f>SUM(G5:R5)</f>
        <v/>
      </c>
    </row>
    <row r="6">
      <c r="B6" s="11" t="inlineStr">
        <is>
          <t>カニ料理シェフ(解体・副) A</t>
        </is>
      </c>
      <c r="C6" s="49" t="inlineStr">
        <is>
          <t>BOH</t>
        </is>
      </c>
      <c r="D6" s="41" t="n">
        <v>59</v>
      </c>
      <c r="E6" s="50" t="n">
        <v>1</v>
      </c>
      <c r="F6" s="43" t="n">
        <v>1</v>
      </c>
      <c r="G6" s="30">
        <f>$D6*$F6*IF(1&gt;=$E6,1,0)*(1+0.17)/100</f>
        <v/>
      </c>
      <c r="H6" s="30">
        <f>$D6*$F6*IF(2&gt;=$E6,1,0)*(1+0.17)/100</f>
        <v/>
      </c>
      <c r="I6" s="30">
        <f>$D6*$F6*IF(3&gt;=$E6,1,0)*(1+0.17)/100</f>
        <v/>
      </c>
      <c r="J6" s="30">
        <f>$D6*$F6*IF(4&gt;=$E6,1,0)*(1+0.17)/100</f>
        <v/>
      </c>
      <c r="K6" s="30">
        <f>$D6*$F6*IF(5&gt;=$E6,1,0)*(1+0.17)/100</f>
        <v/>
      </c>
      <c r="L6" s="30">
        <f>$D6*$F6*IF(6&gt;=$E6,1,0)*(1+0.17)/100</f>
        <v/>
      </c>
      <c r="M6" s="30">
        <f>$D6*$F6*IF(7&gt;=$E6,1,0)*(1+0.17)/100</f>
        <v/>
      </c>
      <c r="N6" s="30">
        <f>$D6*$F6*IF(8&gt;=$E6,1,0)*(1+0.17)/100</f>
        <v/>
      </c>
      <c r="O6" s="30">
        <f>$D6*$F6*IF(9&gt;=$E6,1,0)*(1+0.17)/100</f>
        <v/>
      </c>
      <c r="P6" s="30">
        <f>$D6*$F6*IF(10&gt;=$E6,1,0)*(1+0.17)/100</f>
        <v/>
      </c>
      <c r="Q6" s="30">
        <f>$D6*$F6*IF(11&gt;=$E6,1,0)*(1+0.17)/100</f>
        <v/>
      </c>
      <c r="R6" s="30">
        <f>$D6*$F6*IF(12&gt;=$E6,1,0)*(1+0.17)/100</f>
        <v/>
      </c>
      <c r="S6" s="47">
        <f>SUM(G6:R6)</f>
        <v/>
      </c>
    </row>
    <row r="7">
      <c r="B7" s="11" t="inlineStr">
        <is>
          <t>カニ料理シェフ(解体・副) B</t>
        </is>
      </c>
      <c r="C7" s="49" t="inlineStr">
        <is>
          <t>BOH</t>
        </is>
      </c>
      <c r="D7" s="41" t="n">
        <v>59</v>
      </c>
      <c r="E7" s="50" t="n">
        <v>1</v>
      </c>
      <c r="F7" s="43" t="n">
        <v>1</v>
      </c>
      <c r="G7" s="30">
        <f>$D7*$F7*IF(1&gt;=$E7,1,0)*(1+0.17)/100</f>
        <v/>
      </c>
      <c r="H7" s="30">
        <f>$D7*$F7*IF(2&gt;=$E7,1,0)*(1+0.17)/100</f>
        <v/>
      </c>
      <c r="I7" s="30">
        <f>$D7*$F7*IF(3&gt;=$E7,1,0)*(1+0.17)/100</f>
        <v/>
      </c>
      <c r="J7" s="30">
        <f>$D7*$F7*IF(4&gt;=$E7,1,0)*(1+0.17)/100</f>
        <v/>
      </c>
      <c r="K7" s="30">
        <f>$D7*$F7*IF(5&gt;=$E7,1,0)*(1+0.17)/100</f>
        <v/>
      </c>
      <c r="L7" s="30">
        <f>$D7*$F7*IF(6&gt;=$E7,1,0)*(1+0.17)/100</f>
        <v/>
      </c>
      <c r="M7" s="30">
        <f>$D7*$F7*IF(7&gt;=$E7,1,0)*(1+0.17)/100</f>
        <v/>
      </c>
      <c r="N7" s="30">
        <f>$D7*$F7*IF(8&gt;=$E7,1,0)*(1+0.17)/100</f>
        <v/>
      </c>
      <c r="O7" s="30">
        <f>$D7*$F7*IF(9&gt;=$E7,1,0)*(1+0.17)/100</f>
        <v/>
      </c>
      <c r="P7" s="30">
        <f>$D7*$F7*IF(10&gt;=$E7,1,0)*(1+0.17)/100</f>
        <v/>
      </c>
      <c r="Q7" s="30">
        <f>$D7*$F7*IF(11&gt;=$E7,1,0)*(1+0.17)/100</f>
        <v/>
      </c>
      <c r="R7" s="30">
        <f>$D7*$F7*IF(12&gt;=$E7,1,0)*(1+0.17)/100</f>
        <v/>
      </c>
      <c r="S7" s="47">
        <f>SUM(G7:R7)</f>
        <v/>
      </c>
    </row>
    <row r="8">
      <c r="B8" s="11" t="inlineStr">
        <is>
          <t>カービング/テーブルサイド調理長</t>
        </is>
      </c>
      <c r="C8" s="49" t="inlineStr">
        <is>
          <t>BOH</t>
        </is>
      </c>
      <c r="D8" s="41" t="n">
        <v>57</v>
      </c>
      <c r="E8" s="50" t="n">
        <v>1</v>
      </c>
      <c r="F8" s="43" t="n">
        <v>1</v>
      </c>
      <c r="G8" s="30">
        <f>$D8*$F8*IF(1&gt;=$E8,1,0)*(1+0.17)/100</f>
        <v/>
      </c>
      <c r="H8" s="30">
        <f>$D8*$F8*IF(2&gt;=$E8,1,0)*(1+0.17)/100</f>
        <v/>
      </c>
      <c r="I8" s="30">
        <f>$D8*$F8*IF(3&gt;=$E8,1,0)*(1+0.17)/100</f>
        <v/>
      </c>
      <c r="J8" s="30">
        <f>$D8*$F8*IF(4&gt;=$E8,1,0)*(1+0.17)/100</f>
        <v/>
      </c>
      <c r="K8" s="30">
        <f>$D8*$F8*IF(5&gt;=$E8,1,0)*(1+0.17)/100</f>
        <v/>
      </c>
      <c r="L8" s="30">
        <f>$D8*$F8*IF(6&gt;=$E8,1,0)*(1+0.17)/100</f>
        <v/>
      </c>
      <c r="M8" s="30">
        <f>$D8*$F8*IF(7&gt;=$E8,1,0)*(1+0.17)/100</f>
        <v/>
      </c>
      <c r="N8" s="30">
        <f>$D8*$F8*IF(8&gt;=$E8,1,0)*(1+0.17)/100</f>
        <v/>
      </c>
      <c r="O8" s="30">
        <f>$D8*$F8*IF(9&gt;=$E8,1,0)*(1+0.17)/100</f>
        <v/>
      </c>
      <c r="P8" s="30">
        <f>$D8*$F8*IF(10&gt;=$E8,1,0)*(1+0.17)/100</f>
        <v/>
      </c>
      <c r="Q8" s="30">
        <f>$D8*$F8*IF(11&gt;=$E8,1,0)*(1+0.17)/100</f>
        <v/>
      </c>
      <c r="R8" s="30">
        <f>$D8*$F8*IF(12&gt;=$E8,1,0)*(1+0.17)/100</f>
        <v/>
      </c>
      <c r="S8" s="47">
        <f>SUM(G8:R8)</f>
        <v/>
      </c>
    </row>
    <row r="9">
      <c r="B9" s="11" t="inlineStr">
        <is>
          <t>テーブルサイド調理(多能) A</t>
        </is>
      </c>
      <c r="C9" s="49" t="inlineStr">
        <is>
          <t>BOH</t>
        </is>
      </c>
      <c r="D9" s="41" t="n">
        <v>46</v>
      </c>
      <c r="E9" s="50" t="n">
        <v>1</v>
      </c>
      <c r="F9" s="43" t="n">
        <v>1</v>
      </c>
      <c r="G9" s="30">
        <f>$D9*$F9*IF(1&gt;=$E9,1,0)*(1+0.17)/100</f>
        <v/>
      </c>
      <c r="H9" s="30">
        <f>$D9*$F9*IF(2&gt;=$E9,1,0)*(1+0.17)/100</f>
        <v/>
      </c>
      <c r="I9" s="30">
        <f>$D9*$F9*IF(3&gt;=$E9,1,0)*(1+0.17)/100</f>
        <v/>
      </c>
      <c r="J9" s="30">
        <f>$D9*$F9*IF(4&gt;=$E9,1,0)*(1+0.17)/100</f>
        <v/>
      </c>
      <c r="K9" s="30">
        <f>$D9*$F9*IF(5&gt;=$E9,1,0)*(1+0.17)/100</f>
        <v/>
      </c>
      <c r="L9" s="30">
        <f>$D9*$F9*IF(6&gt;=$E9,1,0)*(1+0.17)/100</f>
        <v/>
      </c>
      <c r="M9" s="30">
        <f>$D9*$F9*IF(7&gt;=$E9,1,0)*(1+0.17)/100</f>
        <v/>
      </c>
      <c r="N9" s="30">
        <f>$D9*$F9*IF(8&gt;=$E9,1,0)*(1+0.17)/100</f>
        <v/>
      </c>
      <c r="O9" s="30">
        <f>$D9*$F9*IF(9&gt;=$E9,1,0)*(1+0.17)/100</f>
        <v/>
      </c>
      <c r="P9" s="30">
        <f>$D9*$F9*IF(10&gt;=$E9,1,0)*(1+0.17)/100</f>
        <v/>
      </c>
      <c r="Q9" s="30">
        <f>$D9*$F9*IF(11&gt;=$E9,1,0)*(1+0.17)/100</f>
        <v/>
      </c>
      <c r="R9" s="30">
        <f>$D9*$F9*IF(12&gt;=$E9,1,0)*(1+0.17)/100</f>
        <v/>
      </c>
      <c r="S9" s="47">
        <f>SUM(G9:R9)</f>
        <v/>
      </c>
    </row>
    <row r="10">
      <c r="B10" s="11" t="inlineStr">
        <is>
          <t>テーブルサイド調理(多能) B</t>
        </is>
      </c>
      <c r="C10" s="49" t="inlineStr">
        <is>
          <t>BOH</t>
        </is>
      </c>
      <c r="D10" s="41" t="n">
        <v>46</v>
      </c>
      <c r="E10" s="50" t="n">
        <v>2</v>
      </c>
      <c r="F10" s="43" t="n">
        <v>1</v>
      </c>
      <c r="G10" s="30">
        <f>$D10*$F10*IF(1&gt;=$E10,1,0)*(1+0.17)/100</f>
        <v/>
      </c>
      <c r="H10" s="30">
        <f>$D10*$F10*IF(2&gt;=$E10,1,0)*(1+0.17)/100</f>
        <v/>
      </c>
      <c r="I10" s="30">
        <f>$D10*$F10*IF(3&gt;=$E10,1,0)*(1+0.17)/100</f>
        <v/>
      </c>
      <c r="J10" s="30">
        <f>$D10*$F10*IF(4&gt;=$E10,1,0)*(1+0.17)/100</f>
        <v/>
      </c>
      <c r="K10" s="30">
        <f>$D10*$F10*IF(5&gt;=$E10,1,0)*(1+0.17)/100</f>
        <v/>
      </c>
      <c r="L10" s="30">
        <f>$D10*$F10*IF(6&gt;=$E10,1,0)*(1+0.17)/100</f>
        <v/>
      </c>
      <c r="M10" s="30">
        <f>$D10*$F10*IF(7&gt;=$E10,1,0)*(1+0.17)/100</f>
        <v/>
      </c>
      <c r="N10" s="30">
        <f>$D10*$F10*IF(8&gt;=$E10,1,0)*(1+0.17)/100</f>
        <v/>
      </c>
      <c r="O10" s="30">
        <f>$D10*$F10*IF(9&gt;=$E10,1,0)*(1+0.17)/100</f>
        <v/>
      </c>
      <c r="P10" s="30">
        <f>$D10*$F10*IF(10&gt;=$E10,1,0)*(1+0.17)/100</f>
        <v/>
      </c>
      <c r="Q10" s="30">
        <f>$D10*$F10*IF(11&gt;=$E10,1,0)*(1+0.17)/100</f>
        <v/>
      </c>
      <c r="R10" s="30">
        <f>$D10*$F10*IF(12&gt;=$E10,1,0)*(1+0.17)/100</f>
        <v/>
      </c>
      <c r="S10" s="47">
        <f>SUM(G10:R10)</f>
        <v/>
      </c>
    </row>
    <row r="11">
      <c r="B11" s="11" t="inlineStr">
        <is>
          <t>テーブルサイド調理(多能) C</t>
        </is>
      </c>
      <c r="C11" s="49" t="inlineStr">
        <is>
          <t>BOH</t>
        </is>
      </c>
      <c r="D11" s="41" t="n">
        <v>52</v>
      </c>
      <c r="E11" s="50" t="n">
        <v>1</v>
      </c>
      <c r="F11" s="43" t="n">
        <v>1</v>
      </c>
      <c r="G11" s="30">
        <f>$D11*$F11*IF(1&gt;=$E11,1,0)*(1+0.17)/100</f>
        <v/>
      </c>
      <c r="H11" s="30">
        <f>$D11*$F11*IF(2&gt;=$E11,1,0)*(1+0.17)/100</f>
        <v/>
      </c>
      <c r="I11" s="30">
        <f>$D11*$F11*IF(3&gt;=$E11,1,0)*(1+0.17)/100</f>
        <v/>
      </c>
      <c r="J11" s="30">
        <f>$D11*$F11*IF(4&gt;=$E11,1,0)*(1+0.17)/100</f>
        <v/>
      </c>
      <c r="K11" s="30">
        <f>$D11*$F11*IF(5&gt;=$E11,1,0)*(1+0.17)/100</f>
        <v/>
      </c>
      <c r="L11" s="30">
        <f>$D11*$F11*IF(6&gt;=$E11,1,0)*(1+0.17)/100</f>
        <v/>
      </c>
      <c r="M11" s="30">
        <f>$D11*$F11*IF(7&gt;=$E11,1,0)*(1+0.17)/100</f>
        <v/>
      </c>
      <c r="N11" s="30">
        <f>$D11*$F11*IF(8&gt;=$E11,1,0)*(1+0.17)/100</f>
        <v/>
      </c>
      <c r="O11" s="30">
        <f>$D11*$F11*IF(9&gt;=$E11,1,0)*(1+0.17)/100</f>
        <v/>
      </c>
      <c r="P11" s="30">
        <f>$D11*$F11*IF(10&gt;=$E11,1,0)*(1+0.17)/100</f>
        <v/>
      </c>
      <c r="Q11" s="30">
        <f>$D11*$F11*IF(11&gt;=$E11,1,0)*(1+0.17)/100</f>
        <v/>
      </c>
      <c r="R11" s="30">
        <f>$D11*$F11*IF(12&gt;=$E11,1,0)*(1+0.17)/100</f>
        <v/>
      </c>
      <c r="S11" s="47">
        <f>SUM(G11:R11)</f>
        <v/>
      </c>
    </row>
    <row r="12">
      <c r="B12" s="11" t="inlineStr">
        <is>
          <t>生バー / 前菜(多能)</t>
        </is>
      </c>
      <c r="C12" s="49" t="inlineStr">
        <is>
          <t>BOH</t>
        </is>
      </c>
      <c r="D12" s="41" t="n">
        <v>43</v>
      </c>
      <c r="E12" s="50" t="n">
        <v>1</v>
      </c>
      <c r="F12" s="43" t="n">
        <v>1</v>
      </c>
      <c r="G12" s="30">
        <f>$D12*$F12*IF(1&gt;=$E12,1,0)*(1+0.17)/100</f>
        <v/>
      </c>
      <c r="H12" s="30">
        <f>$D12*$F12*IF(2&gt;=$E12,1,0)*(1+0.17)/100</f>
        <v/>
      </c>
      <c r="I12" s="30">
        <f>$D12*$F12*IF(3&gt;=$E12,1,0)*(1+0.17)/100</f>
        <v/>
      </c>
      <c r="J12" s="30">
        <f>$D12*$F12*IF(4&gt;=$E12,1,0)*(1+0.17)/100</f>
        <v/>
      </c>
      <c r="K12" s="30">
        <f>$D12*$F12*IF(5&gt;=$E12,1,0)*(1+0.17)/100</f>
        <v/>
      </c>
      <c r="L12" s="30">
        <f>$D12*$F12*IF(6&gt;=$E12,1,0)*(1+0.17)/100</f>
        <v/>
      </c>
      <c r="M12" s="30">
        <f>$D12*$F12*IF(7&gt;=$E12,1,0)*(1+0.17)/100</f>
        <v/>
      </c>
      <c r="N12" s="30">
        <f>$D12*$F12*IF(8&gt;=$E12,1,0)*(1+0.17)/100</f>
        <v/>
      </c>
      <c r="O12" s="30">
        <f>$D12*$F12*IF(9&gt;=$E12,1,0)*(1+0.17)/100</f>
        <v/>
      </c>
      <c r="P12" s="30">
        <f>$D12*$F12*IF(10&gt;=$E12,1,0)*(1+0.17)/100</f>
        <v/>
      </c>
      <c r="Q12" s="30">
        <f>$D12*$F12*IF(11&gt;=$E12,1,0)*(1+0.17)/100</f>
        <v/>
      </c>
      <c r="R12" s="30">
        <f>$D12*$F12*IF(12&gt;=$E12,1,0)*(1+0.17)/100</f>
        <v/>
      </c>
      <c r="S12" s="47">
        <f>SUM(G12:R12)</f>
        <v/>
      </c>
    </row>
    <row r="13">
      <c r="B13" s="11" t="inlineStr">
        <is>
          <t>仕込み / コミ(多能)</t>
        </is>
      </c>
      <c r="C13" s="49" t="inlineStr">
        <is>
          <t>BOH</t>
        </is>
      </c>
      <c r="D13" s="41" t="n">
        <v>35</v>
      </c>
      <c r="E13" s="50" t="n">
        <v>1</v>
      </c>
      <c r="F13" s="43" t="n">
        <v>1</v>
      </c>
      <c r="G13" s="30">
        <f>$D13*$F13*IF(1&gt;=$E13,1,0)*(1+0.17)/100</f>
        <v/>
      </c>
      <c r="H13" s="30">
        <f>$D13*$F13*IF(2&gt;=$E13,1,0)*(1+0.17)/100</f>
        <v/>
      </c>
      <c r="I13" s="30">
        <f>$D13*$F13*IF(3&gt;=$E13,1,0)*(1+0.17)/100</f>
        <v/>
      </c>
      <c r="J13" s="30">
        <f>$D13*$F13*IF(4&gt;=$E13,1,0)*(1+0.17)/100</f>
        <v/>
      </c>
      <c r="K13" s="30">
        <f>$D13*$F13*IF(5&gt;=$E13,1,0)*(1+0.17)/100</f>
        <v/>
      </c>
      <c r="L13" s="30">
        <f>$D13*$F13*IF(6&gt;=$E13,1,0)*(1+0.17)/100</f>
        <v/>
      </c>
      <c r="M13" s="30">
        <f>$D13*$F13*IF(7&gt;=$E13,1,0)*(1+0.17)/100</f>
        <v/>
      </c>
      <c r="N13" s="30">
        <f>$D13*$F13*IF(8&gt;=$E13,1,0)*(1+0.17)/100</f>
        <v/>
      </c>
      <c r="O13" s="30">
        <f>$D13*$F13*IF(9&gt;=$E13,1,0)*(1+0.17)/100</f>
        <v/>
      </c>
      <c r="P13" s="30">
        <f>$D13*$F13*IF(10&gt;=$E13,1,0)*(1+0.17)/100</f>
        <v/>
      </c>
      <c r="Q13" s="30">
        <f>$D13*$F13*IF(11&gt;=$E13,1,0)*(1+0.17)/100</f>
        <v/>
      </c>
      <c r="R13" s="30">
        <f>$D13*$F13*IF(12&gt;=$E13,1,0)*(1+0.17)/100</f>
        <v/>
      </c>
      <c r="S13" s="47">
        <f>SUM(G13:R13)</f>
        <v/>
      </c>
    </row>
    <row r="14">
      <c r="B14" s="11" t="inlineStr">
        <is>
          <t>洗い場 / スチュワード</t>
        </is>
      </c>
      <c r="C14" s="49" t="inlineStr">
        <is>
          <t>BOH</t>
        </is>
      </c>
      <c r="D14" s="41" t="n">
        <v>30</v>
      </c>
      <c r="E14" s="50" t="n">
        <v>1</v>
      </c>
      <c r="F14" s="43" t="n">
        <v>1</v>
      </c>
      <c r="G14" s="30">
        <f>$D14*$F14*IF(1&gt;=$E14,1,0)*(1+0.17)/100</f>
        <v/>
      </c>
      <c r="H14" s="30">
        <f>$D14*$F14*IF(2&gt;=$E14,1,0)*(1+0.17)/100</f>
        <v/>
      </c>
      <c r="I14" s="30">
        <f>$D14*$F14*IF(3&gt;=$E14,1,0)*(1+0.17)/100</f>
        <v/>
      </c>
      <c r="J14" s="30">
        <f>$D14*$F14*IF(4&gt;=$E14,1,0)*(1+0.17)/100</f>
        <v/>
      </c>
      <c r="K14" s="30">
        <f>$D14*$F14*IF(5&gt;=$E14,1,0)*(1+0.17)/100</f>
        <v/>
      </c>
      <c r="L14" s="30">
        <f>$D14*$F14*IF(6&gt;=$E14,1,0)*(1+0.17)/100</f>
        <v/>
      </c>
      <c r="M14" s="30">
        <f>$D14*$F14*IF(7&gt;=$E14,1,0)*(1+0.17)/100</f>
        <v/>
      </c>
      <c r="N14" s="30">
        <f>$D14*$F14*IF(8&gt;=$E14,1,0)*(1+0.17)/100</f>
        <v/>
      </c>
      <c r="O14" s="30">
        <f>$D14*$F14*IF(9&gt;=$E14,1,0)*(1+0.17)/100</f>
        <v/>
      </c>
      <c r="P14" s="30">
        <f>$D14*$F14*IF(10&gt;=$E14,1,0)*(1+0.17)/100</f>
        <v/>
      </c>
      <c r="Q14" s="30">
        <f>$D14*$F14*IF(11&gt;=$E14,1,0)*(1+0.17)/100</f>
        <v/>
      </c>
      <c r="R14" s="30">
        <f>$D14*$F14*IF(12&gt;=$E14,1,0)*(1+0.17)/100</f>
        <v/>
      </c>
      <c r="S14" s="47">
        <f>SUM(G14:R14)</f>
        <v/>
      </c>
    </row>
    <row r="15">
      <c r="B15" s="11" t="inlineStr">
        <is>
          <t>支配人 / GM</t>
        </is>
      </c>
      <c r="C15" s="49" t="inlineStr">
        <is>
          <t>FOH</t>
        </is>
      </c>
      <c r="D15" s="41" t="n">
        <v>85</v>
      </c>
      <c r="E15" s="50" t="n">
        <v>1</v>
      </c>
      <c r="F15" s="43" t="n">
        <v>1</v>
      </c>
      <c r="G15" s="30">
        <f>$D15*$F15*IF(1&gt;=$E15,1,0)*(1+0.17)/100</f>
        <v/>
      </c>
      <c r="H15" s="30">
        <f>$D15*$F15*IF(2&gt;=$E15,1,0)*(1+0.17)/100</f>
        <v/>
      </c>
      <c r="I15" s="30">
        <f>$D15*$F15*IF(3&gt;=$E15,1,0)*(1+0.17)/100</f>
        <v/>
      </c>
      <c r="J15" s="30">
        <f>$D15*$F15*IF(4&gt;=$E15,1,0)*(1+0.17)/100</f>
        <v/>
      </c>
      <c r="K15" s="30">
        <f>$D15*$F15*IF(5&gt;=$E15,1,0)*(1+0.17)/100</f>
        <v/>
      </c>
      <c r="L15" s="30">
        <f>$D15*$F15*IF(6&gt;=$E15,1,0)*(1+0.17)/100</f>
        <v/>
      </c>
      <c r="M15" s="30">
        <f>$D15*$F15*IF(7&gt;=$E15,1,0)*(1+0.17)/100</f>
        <v/>
      </c>
      <c r="N15" s="30">
        <f>$D15*$F15*IF(8&gt;=$E15,1,0)*(1+0.17)/100</f>
        <v/>
      </c>
      <c r="O15" s="30">
        <f>$D15*$F15*IF(9&gt;=$E15,1,0)*(1+0.17)/100</f>
        <v/>
      </c>
      <c r="P15" s="30">
        <f>$D15*$F15*IF(10&gt;=$E15,1,0)*(1+0.17)/100</f>
        <v/>
      </c>
      <c r="Q15" s="30">
        <f>$D15*$F15*IF(11&gt;=$E15,1,0)*(1+0.17)/100</f>
        <v/>
      </c>
      <c r="R15" s="30">
        <f>$D15*$F15*IF(12&gt;=$E15,1,0)*(1+0.17)/100</f>
        <v/>
      </c>
      <c r="S15" s="47">
        <f>SUM(G15:R15)</f>
        <v/>
      </c>
    </row>
    <row r="16">
      <c r="B16" s="11" t="inlineStr">
        <is>
          <t>ソムリエ / ワイン統括(多能)</t>
        </is>
      </c>
      <c r="C16" s="49" t="inlineStr">
        <is>
          <t>FOH</t>
        </is>
      </c>
      <c r="D16" s="41" t="n">
        <v>53</v>
      </c>
      <c r="E16" s="50" t="n">
        <v>1</v>
      </c>
      <c r="F16" s="43" t="n">
        <v>1</v>
      </c>
      <c r="G16" s="30">
        <f>$D16*$F16*IF(1&gt;=$E16,1,0)*(1+0.17)/100</f>
        <v/>
      </c>
      <c r="H16" s="30">
        <f>$D16*$F16*IF(2&gt;=$E16,1,0)*(1+0.17)/100</f>
        <v/>
      </c>
      <c r="I16" s="30">
        <f>$D16*$F16*IF(3&gt;=$E16,1,0)*(1+0.17)/100</f>
        <v/>
      </c>
      <c r="J16" s="30">
        <f>$D16*$F16*IF(4&gt;=$E16,1,0)*(1+0.17)/100</f>
        <v/>
      </c>
      <c r="K16" s="30">
        <f>$D16*$F16*IF(5&gt;=$E16,1,0)*(1+0.17)/100</f>
        <v/>
      </c>
      <c r="L16" s="30">
        <f>$D16*$F16*IF(6&gt;=$E16,1,0)*(1+0.17)/100</f>
        <v/>
      </c>
      <c r="M16" s="30">
        <f>$D16*$F16*IF(7&gt;=$E16,1,0)*(1+0.17)/100</f>
        <v/>
      </c>
      <c r="N16" s="30">
        <f>$D16*$F16*IF(8&gt;=$E16,1,0)*(1+0.17)/100</f>
        <v/>
      </c>
      <c r="O16" s="30">
        <f>$D16*$F16*IF(9&gt;=$E16,1,0)*(1+0.17)/100</f>
        <v/>
      </c>
      <c r="P16" s="30">
        <f>$D16*$F16*IF(10&gt;=$E16,1,0)*(1+0.17)/100</f>
        <v/>
      </c>
      <c r="Q16" s="30">
        <f>$D16*$F16*IF(11&gt;=$E16,1,0)*(1+0.17)/100</f>
        <v/>
      </c>
      <c r="R16" s="30">
        <f>$D16*$F16*IF(12&gt;=$E16,1,0)*(1+0.17)/100</f>
        <v/>
      </c>
      <c r="S16" s="47">
        <f>SUM(G16:R16)</f>
        <v/>
      </c>
    </row>
    <row r="17">
      <c r="B17" s="11" t="inlineStr">
        <is>
          <t>バーテンダー / ワイン(多能) A</t>
        </is>
      </c>
      <c r="C17" s="49" t="inlineStr">
        <is>
          <t>FOH</t>
        </is>
      </c>
      <c r="D17" s="41" t="n">
        <v>51</v>
      </c>
      <c r="E17" s="50" t="n">
        <v>1</v>
      </c>
      <c r="F17" s="43" t="n">
        <v>1</v>
      </c>
      <c r="G17" s="30">
        <f>$D17*$F17*IF(1&gt;=$E17,1,0)*(1+0.17)/100</f>
        <v/>
      </c>
      <c r="H17" s="30">
        <f>$D17*$F17*IF(2&gt;=$E17,1,0)*(1+0.17)/100</f>
        <v/>
      </c>
      <c r="I17" s="30">
        <f>$D17*$F17*IF(3&gt;=$E17,1,0)*(1+0.17)/100</f>
        <v/>
      </c>
      <c r="J17" s="30">
        <f>$D17*$F17*IF(4&gt;=$E17,1,0)*(1+0.17)/100</f>
        <v/>
      </c>
      <c r="K17" s="30">
        <f>$D17*$F17*IF(5&gt;=$E17,1,0)*(1+0.17)/100</f>
        <v/>
      </c>
      <c r="L17" s="30">
        <f>$D17*$F17*IF(6&gt;=$E17,1,0)*(1+0.17)/100</f>
        <v/>
      </c>
      <c r="M17" s="30">
        <f>$D17*$F17*IF(7&gt;=$E17,1,0)*(1+0.17)/100</f>
        <v/>
      </c>
      <c r="N17" s="30">
        <f>$D17*$F17*IF(8&gt;=$E17,1,0)*(1+0.17)/100</f>
        <v/>
      </c>
      <c r="O17" s="30">
        <f>$D17*$F17*IF(9&gt;=$E17,1,0)*(1+0.17)/100</f>
        <v/>
      </c>
      <c r="P17" s="30">
        <f>$D17*$F17*IF(10&gt;=$E17,1,0)*(1+0.17)/100</f>
        <v/>
      </c>
      <c r="Q17" s="30">
        <f>$D17*$F17*IF(11&gt;=$E17,1,0)*(1+0.17)/100</f>
        <v/>
      </c>
      <c r="R17" s="30">
        <f>$D17*$F17*IF(12&gt;=$E17,1,0)*(1+0.17)/100</f>
        <v/>
      </c>
      <c r="S17" s="47">
        <f>SUM(G17:R17)</f>
        <v/>
      </c>
    </row>
    <row r="18">
      <c r="B18" s="11" t="inlineStr">
        <is>
          <t>バーテンダー / ワイン(多能) B</t>
        </is>
      </c>
      <c r="C18" s="49" t="inlineStr">
        <is>
          <t>FOH</t>
        </is>
      </c>
      <c r="D18" s="41" t="n">
        <v>51</v>
      </c>
      <c r="E18" s="50" t="n">
        <v>2</v>
      </c>
      <c r="F18" s="43" t="n">
        <v>1</v>
      </c>
      <c r="G18" s="30">
        <f>$D18*$F18*IF(1&gt;=$E18,1,0)*(1+0.17)/100</f>
        <v/>
      </c>
      <c r="H18" s="30">
        <f>$D18*$F18*IF(2&gt;=$E18,1,0)*(1+0.17)/100</f>
        <v/>
      </c>
      <c r="I18" s="30">
        <f>$D18*$F18*IF(3&gt;=$E18,1,0)*(1+0.17)/100</f>
        <v/>
      </c>
      <c r="J18" s="30">
        <f>$D18*$F18*IF(4&gt;=$E18,1,0)*(1+0.17)/100</f>
        <v/>
      </c>
      <c r="K18" s="30">
        <f>$D18*$F18*IF(5&gt;=$E18,1,0)*(1+0.17)/100</f>
        <v/>
      </c>
      <c r="L18" s="30">
        <f>$D18*$F18*IF(6&gt;=$E18,1,0)*(1+0.17)/100</f>
        <v/>
      </c>
      <c r="M18" s="30">
        <f>$D18*$F18*IF(7&gt;=$E18,1,0)*(1+0.17)/100</f>
        <v/>
      </c>
      <c r="N18" s="30">
        <f>$D18*$F18*IF(8&gt;=$E18,1,0)*(1+0.17)/100</f>
        <v/>
      </c>
      <c r="O18" s="30">
        <f>$D18*$F18*IF(9&gt;=$E18,1,0)*(1+0.17)/100</f>
        <v/>
      </c>
      <c r="P18" s="30">
        <f>$D18*$F18*IF(10&gt;=$E18,1,0)*(1+0.17)/100</f>
        <v/>
      </c>
      <c r="Q18" s="30">
        <f>$D18*$F18*IF(11&gt;=$E18,1,0)*(1+0.17)/100</f>
        <v/>
      </c>
      <c r="R18" s="30">
        <f>$D18*$F18*IF(12&gt;=$E18,1,0)*(1+0.17)/100</f>
        <v/>
      </c>
      <c r="S18" s="47">
        <f>SUM(G18:R18)</f>
        <v/>
      </c>
    </row>
    <row r="19">
      <c r="B19" s="11" t="inlineStr">
        <is>
          <t>サービス(正・多能) A</t>
        </is>
      </c>
      <c r="C19" s="49" t="inlineStr">
        <is>
          <t>FOH</t>
        </is>
      </c>
      <c r="D19" s="41" t="n">
        <v>48</v>
      </c>
      <c r="E19" s="50" t="n">
        <v>1</v>
      </c>
      <c r="F19" s="43" t="n">
        <v>1</v>
      </c>
      <c r="G19" s="30">
        <f>$D19*$F19*IF(1&gt;=$E19,1,0)*(1+0.17)/100</f>
        <v/>
      </c>
      <c r="H19" s="30">
        <f>$D19*$F19*IF(2&gt;=$E19,1,0)*(1+0.17)/100</f>
        <v/>
      </c>
      <c r="I19" s="30">
        <f>$D19*$F19*IF(3&gt;=$E19,1,0)*(1+0.17)/100</f>
        <v/>
      </c>
      <c r="J19" s="30">
        <f>$D19*$F19*IF(4&gt;=$E19,1,0)*(1+0.17)/100</f>
        <v/>
      </c>
      <c r="K19" s="30">
        <f>$D19*$F19*IF(5&gt;=$E19,1,0)*(1+0.17)/100</f>
        <v/>
      </c>
      <c r="L19" s="30">
        <f>$D19*$F19*IF(6&gt;=$E19,1,0)*(1+0.17)/100</f>
        <v/>
      </c>
      <c r="M19" s="30">
        <f>$D19*$F19*IF(7&gt;=$E19,1,0)*(1+0.17)/100</f>
        <v/>
      </c>
      <c r="N19" s="30">
        <f>$D19*$F19*IF(8&gt;=$E19,1,0)*(1+0.17)/100</f>
        <v/>
      </c>
      <c r="O19" s="30">
        <f>$D19*$F19*IF(9&gt;=$E19,1,0)*(1+0.17)/100</f>
        <v/>
      </c>
      <c r="P19" s="30">
        <f>$D19*$F19*IF(10&gt;=$E19,1,0)*(1+0.17)/100</f>
        <v/>
      </c>
      <c r="Q19" s="30">
        <f>$D19*$F19*IF(11&gt;=$E19,1,0)*(1+0.17)/100</f>
        <v/>
      </c>
      <c r="R19" s="30">
        <f>$D19*$F19*IF(12&gt;=$E19,1,0)*(1+0.17)/100</f>
        <v/>
      </c>
      <c r="S19" s="47">
        <f>SUM(G19:R19)</f>
        <v/>
      </c>
    </row>
    <row r="20">
      <c r="B20" s="11" t="inlineStr">
        <is>
          <t>サービス(正・多能) B</t>
        </is>
      </c>
      <c r="C20" s="49" t="inlineStr">
        <is>
          <t>FOH</t>
        </is>
      </c>
      <c r="D20" s="41" t="n">
        <v>47</v>
      </c>
      <c r="E20" s="50" t="n">
        <v>1</v>
      </c>
      <c r="F20" s="43" t="n">
        <v>1</v>
      </c>
      <c r="G20" s="30">
        <f>$D20*$F20*IF(1&gt;=$E20,1,0)*(1+0.17)/100</f>
        <v/>
      </c>
      <c r="H20" s="30">
        <f>$D20*$F20*IF(2&gt;=$E20,1,0)*(1+0.17)/100</f>
        <v/>
      </c>
      <c r="I20" s="30">
        <f>$D20*$F20*IF(3&gt;=$E20,1,0)*(1+0.17)/100</f>
        <v/>
      </c>
      <c r="J20" s="30">
        <f>$D20*$F20*IF(4&gt;=$E20,1,0)*(1+0.17)/100</f>
        <v/>
      </c>
      <c r="K20" s="30">
        <f>$D20*$F20*IF(5&gt;=$E20,1,0)*(1+0.17)/100</f>
        <v/>
      </c>
      <c r="L20" s="30">
        <f>$D20*$F20*IF(6&gt;=$E20,1,0)*(1+0.17)/100</f>
        <v/>
      </c>
      <c r="M20" s="30">
        <f>$D20*$F20*IF(7&gt;=$E20,1,0)*(1+0.17)/100</f>
        <v/>
      </c>
      <c r="N20" s="30">
        <f>$D20*$F20*IF(8&gt;=$E20,1,0)*(1+0.17)/100</f>
        <v/>
      </c>
      <c r="O20" s="30">
        <f>$D20*$F20*IF(9&gt;=$E20,1,0)*(1+0.17)/100</f>
        <v/>
      </c>
      <c r="P20" s="30">
        <f>$D20*$F20*IF(10&gt;=$E20,1,0)*(1+0.17)/100</f>
        <v/>
      </c>
      <c r="Q20" s="30">
        <f>$D20*$F20*IF(11&gt;=$E20,1,0)*(1+0.17)/100</f>
        <v/>
      </c>
      <c r="R20" s="30">
        <f>$D20*$F20*IF(12&gt;=$E20,1,0)*(1+0.17)/100</f>
        <v/>
      </c>
      <c r="S20" s="47">
        <f>SUM(G20:R20)</f>
        <v/>
      </c>
    </row>
    <row r="21">
      <c r="B21" s="11" t="inlineStr">
        <is>
          <t>サービス(正・多能) C</t>
        </is>
      </c>
      <c r="C21" s="49" t="inlineStr">
        <is>
          <t>FOH</t>
        </is>
      </c>
      <c r="D21" s="41" t="n">
        <v>47</v>
      </c>
      <c r="E21" s="50" t="n">
        <v>2</v>
      </c>
      <c r="F21" s="43" t="n">
        <v>1</v>
      </c>
      <c r="G21" s="30">
        <f>$D21*$F21*IF(1&gt;=$E21,1,0)*(1+0.17)/100</f>
        <v/>
      </c>
      <c r="H21" s="30">
        <f>$D21*$F21*IF(2&gt;=$E21,1,0)*(1+0.17)/100</f>
        <v/>
      </c>
      <c r="I21" s="30">
        <f>$D21*$F21*IF(3&gt;=$E21,1,0)*(1+0.17)/100</f>
        <v/>
      </c>
      <c r="J21" s="30">
        <f>$D21*$F21*IF(4&gt;=$E21,1,0)*(1+0.17)/100</f>
        <v/>
      </c>
      <c r="K21" s="30">
        <f>$D21*$F21*IF(5&gt;=$E21,1,0)*(1+0.17)/100</f>
        <v/>
      </c>
      <c r="L21" s="30">
        <f>$D21*$F21*IF(6&gt;=$E21,1,0)*(1+0.17)/100</f>
        <v/>
      </c>
      <c r="M21" s="30">
        <f>$D21*$F21*IF(7&gt;=$E21,1,0)*(1+0.17)/100</f>
        <v/>
      </c>
      <c r="N21" s="30">
        <f>$D21*$F21*IF(8&gt;=$E21,1,0)*(1+0.17)/100</f>
        <v/>
      </c>
      <c r="O21" s="30">
        <f>$D21*$F21*IF(9&gt;=$E21,1,0)*(1+0.17)/100</f>
        <v/>
      </c>
      <c r="P21" s="30">
        <f>$D21*$F21*IF(10&gt;=$E21,1,0)*(1+0.17)/100</f>
        <v/>
      </c>
      <c r="Q21" s="30">
        <f>$D21*$F21*IF(11&gt;=$E21,1,0)*(1+0.17)/100</f>
        <v/>
      </c>
      <c r="R21" s="30">
        <f>$D21*$F21*IF(12&gt;=$E21,1,0)*(1+0.17)/100</f>
        <v/>
      </c>
      <c r="S21" s="47">
        <f>SUM(G21:R21)</f>
        <v/>
      </c>
    </row>
    <row r="22">
      <c r="B22" s="11" t="inlineStr">
        <is>
          <t>サービス(正・多能) D</t>
        </is>
      </c>
      <c r="C22" s="49" t="inlineStr">
        <is>
          <t>FOH</t>
        </is>
      </c>
      <c r="D22" s="41" t="n">
        <v>47</v>
      </c>
      <c r="E22" s="50" t="n">
        <v>2</v>
      </c>
      <c r="F22" s="43" t="n">
        <v>1</v>
      </c>
      <c r="G22" s="30">
        <f>$D22*$F22*IF(1&gt;=$E22,1,0)*(1+0.17)/100</f>
        <v/>
      </c>
      <c r="H22" s="30">
        <f>$D22*$F22*IF(2&gt;=$E22,1,0)*(1+0.17)/100</f>
        <v/>
      </c>
      <c r="I22" s="30">
        <f>$D22*$F22*IF(3&gt;=$E22,1,0)*(1+0.17)/100</f>
        <v/>
      </c>
      <c r="J22" s="30">
        <f>$D22*$F22*IF(4&gt;=$E22,1,0)*(1+0.17)/100</f>
        <v/>
      </c>
      <c r="K22" s="30">
        <f>$D22*$F22*IF(5&gt;=$E22,1,0)*(1+0.17)/100</f>
        <v/>
      </c>
      <c r="L22" s="30">
        <f>$D22*$F22*IF(6&gt;=$E22,1,0)*(1+0.17)/100</f>
        <v/>
      </c>
      <c r="M22" s="30">
        <f>$D22*$F22*IF(7&gt;=$E22,1,0)*(1+0.17)/100</f>
        <v/>
      </c>
      <c r="N22" s="30">
        <f>$D22*$F22*IF(8&gt;=$E22,1,0)*(1+0.17)/100</f>
        <v/>
      </c>
      <c r="O22" s="30">
        <f>$D22*$F22*IF(9&gt;=$E22,1,0)*(1+0.17)/100</f>
        <v/>
      </c>
      <c r="P22" s="30">
        <f>$D22*$F22*IF(10&gt;=$E22,1,0)*(1+0.17)/100</f>
        <v/>
      </c>
      <c r="Q22" s="30">
        <f>$D22*$F22*IF(11&gt;=$E22,1,0)*(1+0.17)/100</f>
        <v/>
      </c>
      <c r="R22" s="30">
        <f>$D22*$F22*IF(12&gt;=$E22,1,0)*(1+0.17)/100</f>
        <v/>
      </c>
      <c r="S22" s="47">
        <f>SUM(G22:R22)</f>
        <v/>
      </c>
    </row>
    <row r="23">
      <c r="B23" s="11" t="inlineStr">
        <is>
          <t>サービス(正・多能) E</t>
        </is>
      </c>
      <c r="C23" s="49" t="inlineStr">
        <is>
          <t>FOH</t>
        </is>
      </c>
      <c r="D23" s="41" t="n">
        <v>51</v>
      </c>
      <c r="E23" s="50" t="n">
        <v>1</v>
      </c>
      <c r="F23" s="43" t="n">
        <v>1</v>
      </c>
      <c r="G23" s="30">
        <f>$D23*$F23*IF(1&gt;=$E23,1,0)*(1+0.17)/100</f>
        <v/>
      </c>
      <c r="H23" s="30">
        <f>$D23*$F23*IF(2&gt;=$E23,1,0)*(1+0.17)/100</f>
        <v/>
      </c>
      <c r="I23" s="30">
        <f>$D23*$F23*IF(3&gt;=$E23,1,0)*(1+0.17)/100</f>
        <v/>
      </c>
      <c r="J23" s="30">
        <f>$D23*$F23*IF(4&gt;=$E23,1,0)*(1+0.17)/100</f>
        <v/>
      </c>
      <c r="K23" s="30">
        <f>$D23*$F23*IF(5&gt;=$E23,1,0)*(1+0.17)/100</f>
        <v/>
      </c>
      <c r="L23" s="30">
        <f>$D23*$F23*IF(6&gt;=$E23,1,0)*(1+0.17)/100</f>
        <v/>
      </c>
      <c r="M23" s="30">
        <f>$D23*$F23*IF(7&gt;=$E23,1,0)*(1+0.17)/100</f>
        <v/>
      </c>
      <c r="N23" s="30">
        <f>$D23*$F23*IF(8&gt;=$E23,1,0)*(1+0.17)/100</f>
        <v/>
      </c>
      <c r="O23" s="30">
        <f>$D23*$F23*IF(9&gt;=$E23,1,0)*(1+0.17)/100</f>
        <v/>
      </c>
      <c r="P23" s="30">
        <f>$D23*$F23*IF(10&gt;=$E23,1,0)*(1+0.17)/100</f>
        <v/>
      </c>
      <c r="Q23" s="30">
        <f>$D23*$F23*IF(11&gt;=$E23,1,0)*(1+0.17)/100</f>
        <v/>
      </c>
      <c r="R23" s="30">
        <f>$D23*$F23*IF(12&gt;=$E23,1,0)*(1+0.17)/100</f>
        <v/>
      </c>
      <c r="S23" s="47">
        <f>SUM(G23:R23)</f>
        <v/>
      </c>
    </row>
    <row r="24">
      <c r="B24" s="11" t="inlineStr">
        <is>
          <t>サービス(正・多能) F</t>
        </is>
      </c>
      <c r="C24" s="49" t="inlineStr">
        <is>
          <t>FOH</t>
        </is>
      </c>
      <c r="D24" s="41" t="n">
        <v>51</v>
      </c>
      <c r="E24" s="50" t="n">
        <v>1</v>
      </c>
      <c r="F24" s="43" t="n">
        <v>1</v>
      </c>
      <c r="G24" s="30">
        <f>$D24*$F24*IF(1&gt;=$E24,1,0)*(1+0.17)/100</f>
        <v/>
      </c>
      <c r="H24" s="30">
        <f>$D24*$F24*IF(2&gt;=$E24,1,0)*(1+0.17)/100</f>
        <v/>
      </c>
      <c r="I24" s="30">
        <f>$D24*$F24*IF(3&gt;=$E24,1,0)*(1+0.17)/100</f>
        <v/>
      </c>
      <c r="J24" s="30">
        <f>$D24*$F24*IF(4&gt;=$E24,1,0)*(1+0.17)/100</f>
        <v/>
      </c>
      <c r="K24" s="30">
        <f>$D24*$F24*IF(5&gt;=$E24,1,0)*(1+0.17)/100</f>
        <v/>
      </c>
      <c r="L24" s="30">
        <f>$D24*$F24*IF(6&gt;=$E24,1,0)*(1+0.17)/100</f>
        <v/>
      </c>
      <c r="M24" s="30">
        <f>$D24*$F24*IF(7&gt;=$E24,1,0)*(1+0.17)/100</f>
        <v/>
      </c>
      <c r="N24" s="30">
        <f>$D24*$F24*IF(8&gt;=$E24,1,0)*(1+0.17)/100</f>
        <v/>
      </c>
      <c r="O24" s="30">
        <f>$D24*$F24*IF(9&gt;=$E24,1,0)*(1+0.17)/100</f>
        <v/>
      </c>
      <c r="P24" s="30">
        <f>$D24*$F24*IF(10&gt;=$E24,1,0)*(1+0.17)/100</f>
        <v/>
      </c>
      <c r="Q24" s="30">
        <f>$D24*$F24*IF(11&gt;=$E24,1,0)*(1+0.17)/100</f>
        <v/>
      </c>
      <c r="R24" s="30">
        <f>$D24*$F24*IF(12&gt;=$E24,1,0)*(1+0.17)/100</f>
        <v/>
      </c>
      <c r="S24" s="47">
        <f>SUM(G24:R24)</f>
        <v/>
      </c>
    </row>
    <row r="25">
      <c r="B25" s="11" t="inlineStr">
        <is>
          <t>レセプション / 予約防衛(多能)</t>
        </is>
      </c>
      <c r="C25" s="49" t="inlineStr">
        <is>
          <t>FOH</t>
        </is>
      </c>
      <c r="D25" s="41" t="n">
        <v>52</v>
      </c>
      <c r="E25" s="50" t="n">
        <v>1</v>
      </c>
      <c r="F25" s="43" t="n">
        <v>1</v>
      </c>
      <c r="G25" s="30">
        <f>$D25*$F25*IF(1&gt;=$E25,1,0)*(1+0.17)/100</f>
        <v/>
      </c>
      <c r="H25" s="30">
        <f>$D25*$F25*IF(2&gt;=$E25,1,0)*(1+0.17)/100</f>
        <v/>
      </c>
      <c r="I25" s="30">
        <f>$D25*$F25*IF(3&gt;=$E25,1,0)*(1+0.17)/100</f>
        <v/>
      </c>
      <c r="J25" s="30">
        <f>$D25*$F25*IF(4&gt;=$E25,1,0)*(1+0.17)/100</f>
        <v/>
      </c>
      <c r="K25" s="30">
        <f>$D25*$F25*IF(5&gt;=$E25,1,0)*(1+0.17)/100</f>
        <v/>
      </c>
      <c r="L25" s="30">
        <f>$D25*$F25*IF(6&gt;=$E25,1,0)*(1+0.17)/100</f>
        <v/>
      </c>
      <c r="M25" s="30">
        <f>$D25*$F25*IF(7&gt;=$E25,1,0)*(1+0.17)/100</f>
        <v/>
      </c>
      <c r="N25" s="30">
        <f>$D25*$F25*IF(8&gt;=$E25,1,0)*(1+0.17)/100</f>
        <v/>
      </c>
      <c r="O25" s="30">
        <f>$D25*$F25*IF(9&gt;=$E25,1,0)*(1+0.17)/100</f>
        <v/>
      </c>
      <c r="P25" s="30">
        <f>$D25*$F25*IF(10&gt;=$E25,1,0)*(1+0.17)/100</f>
        <v/>
      </c>
      <c r="Q25" s="30">
        <f>$D25*$F25*IF(11&gt;=$E25,1,0)*(1+0.17)/100</f>
        <v/>
      </c>
      <c r="R25" s="30">
        <f>$D25*$F25*IF(12&gt;=$E25,1,0)*(1+0.17)/100</f>
        <v/>
      </c>
      <c r="S25" s="47">
        <f>SUM(G25:R25)</f>
        <v/>
      </c>
    </row>
    <row r="26">
      <c r="B26" s="11" t="inlineStr">
        <is>
          <t>コミ・ド・ラン / ランナー(多能)</t>
        </is>
      </c>
      <c r="C26" s="49" t="inlineStr">
        <is>
          <t>FOH</t>
        </is>
      </c>
      <c r="D26" s="41" t="n">
        <v>45</v>
      </c>
      <c r="E26" s="50" t="n">
        <v>1</v>
      </c>
      <c r="F26" s="43" t="n">
        <v>1</v>
      </c>
      <c r="G26" s="30">
        <f>$D26*$F26*IF(1&gt;=$E26,1,0)*(1+0.17)/100</f>
        <v/>
      </c>
      <c r="H26" s="30">
        <f>$D26*$F26*IF(2&gt;=$E26,1,0)*(1+0.17)/100</f>
        <v/>
      </c>
      <c r="I26" s="30">
        <f>$D26*$F26*IF(3&gt;=$E26,1,0)*(1+0.17)/100</f>
        <v/>
      </c>
      <c r="J26" s="30">
        <f>$D26*$F26*IF(4&gt;=$E26,1,0)*(1+0.17)/100</f>
        <v/>
      </c>
      <c r="K26" s="30">
        <f>$D26*$F26*IF(5&gt;=$E26,1,0)*(1+0.17)/100</f>
        <v/>
      </c>
      <c r="L26" s="30">
        <f>$D26*$F26*IF(6&gt;=$E26,1,0)*(1+0.17)/100</f>
        <v/>
      </c>
      <c r="M26" s="30">
        <f>$D26*$F26*IF(7&gt;=$E26,1,0)*(1+0.17)/100</f>
        <v/>
      </c>
      <c r="N26" s="30">
        <f>$D26*$F26*IF(8&gt;=$E26,1,0)*(1+0.17)/100</f>
        <v/>
      </c>
      <c r="O26" s="30">
        <f>$D26*$F26*IF(9&gt;=$E26,1,0)*(1+0.17)/100</f>
        <v/>
      </c>
      <c r="P26" s="30">
        <f>$D26*$F26*IF(10&gt;=$E26,1,0)*(1+0.17)/100</f>
        <v/>
      </c>
      <c r="Q26" s="30">
        <f>$D26*$F26*IF(11&gt;=$E26,1,0)*(1+0.17)/100</f>
        <v/>
      </c>
      <c r="R26" s="30">
        <f>$D26*$F26*IF(12&gt;=$E26,1,0)*(1+0.17)/100</f>
        <v/>
      </c>
      <c r="S26" s="47">
        <f>SUM(G26:R26)</f>
        <v/>
      </c>
    </row>
    <row r="27">
      <c r="B27" s="11" t="inlineStr">
        <is>
          <t>バーテンダー(深夜バー)</t>
        </is>
      </c>
      <c r="C27" s="49" t="inlineStr">
        <is>
          <t>FOH</t>
        </is>
      </c>
      <c r="D27" s="41" t="n">
        <v>41</v>
      </c>
      <c r="E27" s="50" t="n">
        <v>6</v>
      </c>
      <c r="F27" s="43" t="n">
        <v>0.7</v>
      </c>
      <c r="G27" s="30">
        <f>$D27*$F27*IF(1&gt;=$E27,1,0)*(1+0.17)/100</f>
        <v/>
      </c>
      <c r="H27" s="30">
        <f>$D27*$F27*IF(2&gt;=$E27,1,0)*(1+0.17)/100</f>
        <v/>
      </c>
      <c r="I27" s="30">
        <f>$D27*$F27*IF(3&gt;=$E27,1,0)*(1+0.17)/100</f>
        <v/>
      </c>
      <c r="J27" s="30">
        <f>$D27*$F27*IF(4&gt;=$E27,1,0)*(1+0.17)/100</f>
        <v/>
      </c>
      <c r="K27" s="30">
        <f>$D27*$F27*IF(5&gt;=$E27,1,0)*(1+0.17)/100</f>
        <v/>
      </c>
      <c r="L27" s="30">
        <f>$D27*$F27*IF(6&gt;=$E27,1,0)*(1+0.17)/100</f>
        <v/>
      </c>
      <c r="M27" s="30">
        <f>$D27*$F27*IF(7&gt;=$E27,1,0)*(1+0.17)/100</f>
        <v/>
      </c>
      <c r="N27" s="30">
        <f>$D27*$F27*IF(8&gt;=$E27,1,0)*(1+0.17)/100</f>
        <v/>
      </c>
      <c r="O27" s="30">
        <f>$D27*$F27*IF(9&gt;=$E27,1,0)*(1+0.17)/100</f>
        <v/>
      </c>
      <c r="P27" s="30">
        <f>$D27*$F27*IF(10&gt;=$E27,1,0)*(1+0.17)/100</f>
        <v/>
      </c>
      <c r="Q27" s="30">
        <f>$D27*$F27*IF(11&gt;=$E27,1,0)*(1+0.17)/100</f>
        <v/>
      </c>
      <c r="R27" s="30">
        <f>$D27*$F27*IF(12&gt;=$E27,1,0)*(1+0.17)/100</f>
        <v/>
      </c>
      <c r="S27" s="47">
        <f>SUM(G27:R27)</f>
        <v/>
      </c>
    </row>
    <row r="28">
      <c r="B28" s="11" t="inlineStr">
        <is>
          <t>バー スタッフ(深夜バー)</t>
        </is>
      </c>
      <c r="C28" s="49" t="inlineStr">
        <is>
          <t>FOH</t>
        </is>
      </c>
      <c r="D28" s="41" t="n">
        <v>39</v>
      </c>
      <c r="E28" s="50" t="n">
        <v>9</v>
      </c>
      <c r="F28" s="43" t="n">
        <v>0.7</v>
      </c>
      <c r="G28" s="30">
        <f>$D28*$F28*IF(1&gt;=$E28,1,0)*(1+0.17)/100</f>
        <v/>
      </c>
      <c r="H28" s="30">
        <f>$D28*$F28*IF(2&gt;=$E28,1,0)*(1+0.17)/100</f>
        <v/>
      </c>
      <c r="I28" s="30">
        <f>$D28*$F28*IF(3&gt;=$E28,1,0)*(1+0.17)/100</f>
        <v/>
      </c>
      <c r="J28" s="30">
        <f>$D28*$F28*IF(4&gt;=$E28,1,0)*(1+0.17)/100</f>
        <v/>
      </c>
      <c r="K28" s="30">
        <f>$D28*$F28*IF(5&gt;=$E28,1,0)*(1+0.17)/100</f>
        <v/>
      </c>
      <c r="L28" s="30">
        <f>$D28*$F28*IF(6&gt;=$E28,1,0)*(1+0.17)/100</f>
        <v/>
      </c>
      <c r="M28" s="30">
        <f>$D28*$F28*IF(7&gt;=$E28,1,0)*(1+0.17)/100</f>
        <v/>
      </c>
      <c r="N28" s="30">
        <f>$D28*$F28*IF(8&gt;=$E28,1,0)*(1+0.17)/100</f>
        <v/>
      </c>
      <c r="O28" s="30">
        <f>$D28*$F28*IF(9&gt;=$E28,1,0)*(1+0.17)/100</f>
        <v/>
      </c>
      <c r="P28" s="30">
        <f>$D28*$F28*IF(10&gt;=$E28,1,0)*(1+0.17)/100</f>
        <v/>
      </c>
      <c r="Q28" s="30">
        <f>$D28*$F28*IF(11&gt;=$E28,1,0)*(1+0.17)/100</f>
        <v/>
      </c>
      <c r="R28" s="30">
        <f>$D28*$F28*IF(12&gt;=$E28,1,0)*(1+0.17)/100</f>
        <v/>
      </c>
      <c r="S28" s="47">
        <f>SUM(G28:R28)</f>
        <v/>
      </c>
    </row>
    <row r="29">
      <c r="B29" s="48" t="inlineStr">
        <is>
          <t>月末 在籍人数</t>
        </is>
      </c>
      <c r="G29" s="51">
        <f>COUNTIF($E5:$E28,"&lt;="&amp;1)</f>
        <v/>
      </c>
      <c r="H29" s="51">
        <f>COUNTIF($E5:$E28,"&lt;="&amp;2)</f>
        <v/>
      </c>
      <c r="I29" s="51">
        <f>COUNTIF($E5:$E28,"&lt;="&amp;3)</f>
        <v/>
      </c>
      <c r="J29" s="51">
        <f>COUNTIF($E5:$E28,"&lt;="&amp;4)</f>
        <v/>
      </c>
      <c r="K29" s="51">
        <f>COUNTIF($E5:$E28,"&lt;="&amp;5)</f>
        <v/>
      </c>
      <c r="L29" s="51">
        <f>COUNTIF($E5:$E28,"&lt;="&amp;6)</f>
        <v/>
      </c>
      <c r="M29" s="51">
        <f>COUNTIF($E5:$E28,"&lt;="&amp;7)</f>
        <v/>
      </c>
      <c r="N29" s="51">
        <f>COUNTIF($E5:$E28,"&lt;="&amp;8)</f>
        <v/>
      </c>
      <c r="O29" s="51">
        <f>COUNTIF($E5:$E28,"&lt;="&amp;9)</f>
        <v/>
      </c>
      <c r="P29" s="51">
        <f>COUNTIF($E5:$E28,"&lt;="&amp;10)</f>
        <v/>
      </c>
      <c r="Q29" s="51">
        <f>COUNTIF($E5:$E28,"&lt;="&amp;11)</f>
        <v/>
      </c>
      <c r="R29" s="51">
        <f>COUNTIF($E5:$E28,"&lt;="&amp;12)</f>
        <v/>
      </c>
    </row>
    <row r="30">
      <c r="B30" s="8" t="inlineStr">
        <is>
          <t>うち BOH / FOH</t>
        </is>
      </c>
      <c r="G30" s="52">
        <f>COUNTIFS($C5:$C28,"BOH",$E5:$E28,"&lt;="&amp;1)&amp;" / "&amp;COUNTIFS($C5:$C28,"FOH",$E5:$E28,"&lt;="&amp;1)</f>
        <v/>
      </c>
      <c r="H30" s="52">
        <f>COUNTIFS($C5:$C28,"BOH",$E5:$E28,"&lt;="&amp;2)&amp;" / "&amp;COUNTIFS($C5:$C28,"FOH",$E5:$E28,"&lt;="&amp;2)</f>
        <v/>
      </c>
      <c r="I30" s="52">
        <f>COUNTIFS($C5:$C28,"BOH",$E5:$E28,"&lt;="&amp;3)&amp;" / "&amp;COUNTIFS($C5:$C28,"FOH",$E5:$E28,"&lt;="&amp;3)</f>
        <v/>
      </c>
      <c r="J30" s="52">
        <f>COUNTIFS($C5:$C28,"BOH",$E5:$E28,"&lt;="&amp;4)&amp;" / "&amp;COUNTIFS($C5:$C28,"FOH",$E5:$E28,"&lt;="&amp;4)</f>
        <v/>
      </c>
      <c r="K30" s="52">
        <f>COUNTIFS($C5:$C28,"BOH",$E5:$E28,"&lt;="&amp;5)&amp;" / "&amp;COUNTIFS($C5:$C28,"FOH",$E5:$E28,"&lt;="&amp;5)</f>
        <v/>
      </c>
      <c r="L30" s="52">
        <f>COUNTIFS($C5:$C28,"BOH",$E5:$E28,"&lt;="&amp;6)&amp;" / "&amp;COUNTIFS($C5:$C28,"FOH",$E5:$E28,"&lt;="&amp;6)</f>
        <v/>
      </c>
      <c r="M30" s="52">
        <f>COUNTIFS($C5:$C28,"BOH",$E5:$E28,"&lt;="&amp;7)&amp;" / "&amp;COUNTIFS($C5:$C28,"FOH",$E5:$E28,"&lt;="&amp;7)</f>
        <v/>
      </c>
      <c r="N30" s="52">
        <f>COUNTIFS($C5:$C28,"BOH",$E5:$E28,"&lt;="&amp;8)&amp;" / "&amp;COUNTIFS($C5:$C28,"FOH",$E5:$E28,"&lt;="&amp;8)</f>
        <v/>
      </c>
      <c r="O30" s="52">
        <f>COUNTIFS($C5:$C28,"BOH",$E5:$E28,"&lt;="&amp;9)&amp;" / "&amp;COUNTIFS($C5:$C28,"FOH",$E5:$E28,"&lt;="&amp;9)</f>
        <v/>
      </c>
      <c r="P30" s="52">
        <f>COUNTIFS($C5:$C28,"BOH",$E5:$E28,"&lt;="&amp;10)&amp;" / "&amp;COUNTIFS($C5:$C28,"FOH",$E5:$E28,"&lt;="&amp;10)</f>
        <v/>
      </c>
      <c r="Q30" s="52">
        <f>COUNTIFS($C5:$C28,"BOH",$E5:$E28,"&lt;="&amp;11)&amp;" / "&amp;COUNTIFS($C5:$C28,"FOH",$E5:$E28,"&lt;="&amp;11)</f>
        <v/>
      </c>
      <c r="R30" s="52">
        <f>COUNTIFS($C5:$C28,"BOH",$E5:$E28,"&lt;="&amp;12)&amp;" / "&amp;COUNTIFS($C5:$C28,"FOH",$E5:$E28,"&lt;="&amp;12)</f>
        <v/>
      </c>
    </row>
    <row r="31">
      <c r="B31" s="48" t="inlineStr">
        <is>
          <t>月次人件費 計(名簿)</t>
        </is>
      </c>
      <c r="G31" s="53">
        <f>SUM(G5:G28)</f>
        <v/>
      </c>
      <c r="H31" s="53">
        <f>SUM(H5:H28)</f>
        <v/>
      </c>
      <c r="I31" s="53">
        <f>SUM(I5:I28)</f>
        <v/>
      </c>
      <c r="J31" s="53">
        <f>SUM(J5:J28)</f>
        <v/>
      </c>
      <c r="K31" s="53">
        <f>SUM(K5:K28)</f>
        <v/>
      </c>
      <c r="L31" s="53">
        <f>SUM(L5:L28)</f>
        <v/>
      </c>
      <c r="M31" s="53">
        <f>SUM(M5:M28)</f>
        <v/>
      </c>
      <c r="N31" s="53">
        <f>SUM(N5:N28)</f>
        <v/>
      </c>
      <c r="O31" s="53">
        <f>SUM(O5:O28)</f>
        <v/>
      </c>
      <c r="P31" s="53">
        <f>SUM(P5:P28)</f>
        <v/>
      </c>
      <c r="Q31" s="53">
        <f>SUM(Q5:Q28)</f>
        <v/>
      </c>
      <c r="R31" s="53">
        <f>SUM(R5:R28)</f>
        <v/>
      </c>
      <c r="S31" s="54">
        <f>SUM(G31:R31)</f>
        <v/>
      </c>
    </row>
    <row r="33">
      <c r="B33" s="11" t="inlineStr">
        <is>
          <t>賞与プール(年額)</t>
        </is>
      </c>
      <c r="S33" s="24" t="n">
        <v>9</v>
      </c>
    </row>
    <row r="34">
      <c r="B34" s="11" t="inlineStr">
        <is>
          <t>採用・研修・制服・賄い(年額)</t>
        </is>
      </c>
      <c r="S34" s="24" t="n">
        <v>12</v>
      </c>
    </row>
    <row r="35">
      <c r="B35" s="11" t="inlineStr">
        <is>
          <t>経理・労務(委託)(年額)</t>
        </is>
      </c>
      <c r="S35" s="24" t="n">
        <v>4</v>
      </c>
    </row>
    <row r="36">
      <c r="B36" s="48" t="inlineStr">
        <is>
          <t>人件費 合計(第1期)</t>
        </is>
      </c>
      <c r="S36" s="20">
        <f>S31+SUM(S33:S35)</f>
        <v/>
      </c>
    </row>
    <row r="38">
      <c r="B38" s="8" t="inlineStr">
        <is>
          <t>※ 在籍=月&gt;=入社月(IF回避はFAST§3.03)。社保17%込。賞与/採用/経理は別ライン。名簿24名+別ラインで第1期人件費¥188M(P&amp;Lとtie)。</t>
        </is>
      </c>
    </row>
  </sheetData>
  <mergeCells count="3">
    <mergeCell ref="B1:S1"/>
    <mergeCell ref="B2:S2"/>
    <mergeCell ref="B38:S3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1:G25"/>
  <sheetViews>
    <sheetView workbookViewId="0">
      <selection activeCell="A1" sqref="A1"/>
    </sheetView>
  </sheetViews>
  <sheetFormatPr baseColWidth="8" defaultRowHeight="15" outlineLevelCol="0"/>
  <cols>
    <col width="2" customWidth="1" min="1" max="1"/>
    <col width="3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32" customHeight="1">
      <c r="B1" s="1" t="inlineStr">
        <is>
          <t>KPI・ユニットエコノミクス + 感応度分析</t>
        </is>
      </c>
      <c r="C1" s="2" t="n"/>
      <c r="D1" s="2" t="n"/>
      <c r="E1" s="2" t="n"/>
      <c r="F1" s="2" t="n"/>
      <c r="G1" s="2" t="n"/>
    </row>
    <row r="2">
      <c r="B2" s="3" t="inlineStr">
        <is>
          <t>5期／ダイニング席数48(最大54席・うち見せるバー6)・営業322日・回転1.25前提</t>
        </is>
      </c>
      <c r="C2" s="2" t="n"/>
      <c r="D2" s="2" t="n"/>
      <c r="E2" s="2" t="n"/>
      <c r="F2" s="2" t="n"/>
      <c r="G2" s="2" t="n"/>
    </row>
    <row r="4">
      <c r="B4" s="13" t="inlineStr">
        <is>
          <t>科目</t>
        </is>
      </c>
      <c r="C4" s="14" t="inlineStr">
        <is>
          <t>第1期</t>
        </is>
      </c>
      <c r="D4" s="14" t="inlineStr">
        <is>
          <t>第2期</t>
        </is>
      </c>
      <c r="E4" s="14" t="inlineStr">
        <is>
          <t>第3期</t>
        </is>
      </c>
      <c r="F4" s="14" t="inlineStr">
        <is>
          <t>第4期</t>
        </is>
      </c>
      <c r="G4" s="14" t="inlineStr">
        <is>
          <t>第5期</t>
        </is>
      </c>
    </row>
    <row r="5">
      <c r="B5" s="19" t="inlineStr">
        <is>
          <t>売上高(百万円)</t>
        </is>
      </c>
      <c r="C5" s="20" t="n">
        <v>614.8</v>
      </c>
      <c r="D5" s="20" t="n">
        <v>728.1</v>
      </c>
      <c r="E5" s="20" t="n">
        <v>799.4</v>
      </c>
      <c r="F5" s="20" t="n">
        <v>827.4</v>
      </c>
      <c r="G5" s="20" t="n">
        <v>847.4</v>
      </c>
    </row>
    <row r="6">
      <c r="B6" s="6" t="inlineStr">
        <is>
          <t>客数(年間カバー)</t>
        </is>
      </c>
      <c r="C6" s="45" t="n">
        <v>9556</v>
      </c>
      <c r="D6" s="45" t="n">
        <v>11553</v>
      </c>
      <c r="E6" s="45" t="n">
        <v>12825</v>
      </c>
      <c r="F6" s="45" t="n">
        <v>13369</v>
      </c>
      <c r="G6" s="45" t="n">
        <v>13824</v>
      </c>
    </row>
    <row r="7">
      <c r="B7" s="6" t="inlineStr">
        <is>
          <t>1日あたり客数</t>
        </is>
      </c>
      <c r="C7" s="30" t="n">
        <v>29.7</v>
      </c>
      <c r="D7" s="30" t="n">
        <v>35.9</v>
      </c>
      <c r="E7" s="30" t="n">
        <v>39.8</v>
      </c>
      <c r="F7" s="30" t="n">
        <v>41.5</v>
      </c>
      <c r="G7" s="30" t="n">
        <v>42.9</v>
      </c>
    </row>
    <row r="8">
      <c r="B8" s="6" t="inlineStr">
        <is>
          <t>平均客単価(円)</t>
        </is>
      </c>
      <c r="C8" s="55" t="n">
        <v>64337</v>
      </c>
      <c r="D8" s="55" t="n">
        <v>63023</v>
      </c>
      <c r="E8" s="55" t="n">
        <v>62331</v>
      </c>
      <c r="F8" s="55" t="n">
        <v>61889</v>
      </c>
      <c r="G8" s="55" t="n">
        <v>61299</v>
      </c>
    </row>
    <row r="9">
      <c r="B9" s="6" t="inlineStr">
        <is>
          <t>席稼働率(blended)</t>
        </is>
      </c>
      <c r="C9" s="26" t="n">
        <v>0.495</v>
      </c>
      <c r="D9" s="26" t="n">
        <v>0.598</v>
      </c>
      <c r="E9" s="26" t="n">
        <v>0.664</v>
      </c>
      <c r="F9" s="26" t="n">
        <v>0.6919999999999999</v>
      </c>
      <c r="G9" s="26" t="n">
        <v>0.716</v>
      </c>
    </row>
    <row r="10">
      <c r="B10" s="6" t="inlineStr">
        <is>
          <t>RevPASH(席1時間あたり売上・円)</t>
        </is>
      </c>
      <c r="C10" s="55" t="n">
        <v>6630</v>
      </c>
      <c r="D10" s="55" t="n">
        <v>7851</v>
      </c>
      <c r="E10" s="55" t="n">
        <v>8620</v>
      </c>
      <c r="F10" s="55" t="n">
        <v>8922</v>
      </c>
      <c r="G10" s="55" t="n">
        <v>9138</v>
      </c>
    </row>
    <row r="11">
      <c r="B11" s="6" t="inlineStr">
        <is>
          <t>SPLH(売上÷人件費・倍)</t>
        </is>
      </c>
      <c r="C11" s="56" t="n">
        <v>3.27</v>
      </c>
      <c r="D11" s="56" t="n">
        <v>3.68</v>
      </c>
      <c r="E11" s="56" t="n">
        <v>3.88</v>
      </c>
      <c r="F11" s="56" t="n">
        <v>3.83</v>
      </c>
      <c r="G11" s="56" t="n">
        <v>3.77</v>
      </c>
    </row>
    <row r="12">
      <c r="B12" s="6" t="inlineStr">
        <is>
          <t>プライムコスト率(原価+人件費)</t>
        </is>
      </c>
      <c r="C12" s="26" t="n">
        <v>0.599</v>
      </c>
      <c r="D12" s="26" t="n">
        <v>0.571</v>
      </c>
      <c r="E12" s="26" t="n">
        <v>0.5590000000000001</v>
      </c>
      <c r="F12" s="26" t="n">
        <v>0.5629999999999999</v>
      </c>
      <c r="G12" s="26" t="n">
        <v>0.569</v>
      </c>
    </row>
    <row r="13">
      <c r="B13" s="6" t="inlineStr">
        <is>
          <t>1席あたり年商(百万円)</t>
        </is>
      </c>
      <c r="C13" s="27" t="n">
        <v>12.8</v>
      </c>
      <c r="D13" s="27" t="n">
        <v>15.2</v>
      </c>
      <c r="E13" s="27" t="n">
        <v>16.7</v>
      </c>
      <c r="F13" s="27" t="n">
        <v>17.2</v>
      </c>
      <c r="G13" s="27" t="n">
        <v>17.7</v>
      </c>
    </row>
    <row r="14">
      <c r="B14" s="6" t="inlineStr">
        <is>
          <t>営業利益率</t>
        </is>
      </c>
      <c r="C14" s="26" t="n">
        <v>0.174</v>
      </c>
      <c r="D14" s="26" t="n">
        <v>0.216</v>
      </c>
      <c r="E14" s="26" t="n">
        <v>0.249</v>
      </c>
      <c r="F14" s="26" t="n">
        <v>0.262</v>
      </c>
      <c r="G14" s="26" t="n">
        <v>0.264</v>
      </c>
    </row>
    <row r="15">
      <c r="B15" s="6" t="inlineStr">
        <is>
          <t>EBITDAマージン</t>
        </is>
      </c>
      <c r="C15" s="26" t="n">
        <v>0.215</v>
      </c>
      <c r="D15" s="26" t="n">
        <v>0.251</v>
      </c>
      <c r="E15" s="26" t="n">
        <v>0.28</v>
      </c>
      <c r="F15" s="26" t="n">
        <v>0.291</v>
      </c>
      <c r="G15" s="26" t="n">
        <v>0.293</v>
      </c>
    </row>
    <row r="17">
      <c r="B17" s="15" t="inlineStr">
        <is>
          <t>感応度: 稼働率 × 客単価 → 営業利益(第3期ダイニング・百万円)</t>
        </is>
      </c>
      <c r="C17" s="16" t="n"/>
      <c r="D17" s="16" t="n"/>
      <c r="E17" s="16" t="n"/>
      <c r="F17" s="16" t="n"/>
      <c r="G17" s="16" t="n"/>
    </row>
    <row r="18">
      <c r="B18" s="14" t="inlineStr">
        <is>
          <t>客単価＼稼働率</t>
        </is>
      </c>
      <c r="C18" s="14" t="inlineStr">
        <is>
          <t>63%</t>
        </is>
      </c>
      <c r="D18" s="14" t="inlineStr">
        <is>
          <t>70%</t>
        </is>
      </c>
      <c r="E18" s="14" t="inlineStr">
        <is>
          <t>77%</t>
        </is>
      </c>
    </row>
    <row r="19">
      <c r="B19" s="57" t="inlineStr">
        <is>
          <t>¥48K</t>
        </is>
      </c>
      <c r="C19" s="58" t="n">
        <v>122</v>
      </c>
      <c r="D19" s="58" t="n">
        <v>174</v>
      </c>
      <c r="E19" s="58" t="n">
        <v>226</v>
      </c>
    </row>
    <row r="20">
      <c r="B20" s="57" t="inlineStr">
        <is>
          <t>¥42K</t>
        </is>
      </c>
      <c r="C20" s="58" t="n">
        <v>63</v>
      </c>
      <c r="D20" s="58" t="n">
        <v>109</v>
      </c>
      <c r="E20" s="58" t="n">
        <v>154</v>
      </c>
    </row>
    <row r="21">
      <c r="B21" s="57" t="inlineStr">
        <is>
          <t>¥34K</t>
        </is>
      </c>
      <c r="C21" s="59" t="n">
        <v>-15</v>
      </c>
      <c r="D21" s="60" t="n">
        <v>22</v>
      </c>
      <c r="E21" s="58" t="n">
        <v>59</v>
      </c>
    </row>
    <row r="23">
      <c r="B23" s="8" t="inlineStr">
        <is>
          <t>※ 稼働率=客数÷(席48×営業322日×回転1.25)。床稼働 第1期55%→第5期74%。損益分岐≒47%。</t>
        </is>
      </c>
    </row>
    <row r="24">
      <c r="B24" s="8" t="inlineStr">
        <is>
          <t>※ 基本ケース(第3期・稼働70%)≈¥198.9M(利益率25%)・第5期≈¥223.9M。赤=営業赤字。ベア(稼働56%×客単¥34K×原価+4pt)赤字≈¥68M・最悪赤字≈¥93M、運転¥35Mで約0.4年耐久。</t>
        </is>
      </c>
    </row>
    <row r="25">
      <c r="B25" s="8" t="inlineStr">
        <is>
          <t>※ RevPASH/SPLH/プライムコスト率=レストランの institutional KPI。平均客単価は売上ビルド(メニュー積上)由来。目標プライムコスト65-70%帯。</t>
        </is>
      </c>
    </row>
  </sheetData>
  <mergeCells count="5">
    <mergeCell ref="B24:G24"/>
    <mergeCell ref="B2:G2"/>
    <mergeCell ref="B23:G23"/>
    <mergeCell ref="B1:G1"/>
    <mergeCell ref="B25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2026-07-13T09:05:54Z</dcterms:created>
  <dcterms:modified xmlns:dcterms="http://purl.org/dc/terms/" xmlns:xsi="http://www.w3.org/2001/XMLSchema-instance" xsi:type="dcterms:W3CDTF">2026-07-13T09:05:54Z</dcterms:modified>
</cp:coreProperties>
</file>